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Predikant/2026 - rekenmodel/"/>
    </mc:Choice>
  </mc:AlternateContent>
  <xr:revisionPtr revIDLastSave="3" documentId="8_{7E35CD7F-900D-451C-9C81-786C1E4D22EB}" xr6:coauthVersionLast="47" xr6:coauthVersionMax="47" xr10:uidLastSave="{F4873B8C-9005-4E5F-BF6C-29D17FEE1598}"/>
  <bookViews>
    <workbookView xWindow="-23175" yWindow="1080" windowWidth="19200" windowHeight="14115" xr2:uid="{00000000-000D-0000-FFFF-FFFF00000000}"/>
  </bookViews>
  <sheets>
    <sheet name="Rekenmodel 2026" sheetId="1" r:id="rId1"/>
    <sheet name="Berekeningen" sheetId="4" r:id="rId2"/>
    <sheet name="Traktementstabel 2026" sheetId="2" r:id="rId3"/>
  </sheets>
  <definedNames>
    <definedName name="_xlnm.Print_Area" localSheetId="0">'Rekenmodel 2026'!$A$1:$C$73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10" i="4"/>
  <c r="B33" i="1" l="1"/>
  <c r="C33" i="1" s="1"/>
  <c r="B32" i="1"/>
  <c r="C32" i="1" s="1"/>
  <c r="D22" i="4" l="1"/>
  <c r="D21" i="4"/>
  <c r="C21" i="1"/>
  <c r="A17" i="1" l="1"/>
  <c r="C38" i="1" l="1"/>
  <c r="C7" i="1" l="1"/>
  <c r="C63" i="1"/>
  <c r="B63" i="1" s="1"/>
  <c r="A14" i="1"/>
  <c r="B68" i="1"/>
  <c r="B70" i="1"/>
  <c r="B71" i="1" s="1"/>
  <c r="A7" i="1"/>
  <c r="A6" i="1"/>
  <c r="C64" i="1" l="1"/>
  <c r="B64" i="1" s="1"/>
  <c r="B29" i="1" l="1"/>
  <c r="D9" i="4" s="1"/>
  <c r="G9" i="4" l="1"/>
  <c r="D8" i="4"/>
  <c r="B31" i="1"/>
  <c r="C43" i="1"/>
  <c r="D24" i="4"/>
  <c r="C66" i="1" s="1"/>
  <c r="B66" i="1" s="1"/>
  <c r="D10" i="4" l="1"/>
  <c r="C35" i="1" s="1"/>
  <c r="C40" i="1"/>
  <c r="B40" i="1" s="1"/>
  <c r="D14" i="4"/>
  <c r="D41" i="4"/>
  <c r="C28" i="4"/>
  <c r="C39" i="1" l="1"/>
  <c r="D26" i="4"/>
  <c r="B38" i="1" l="1"/>
  <c r="C42" i="1" l="1"/>
  <c r="B42" i="1" s="1"/>
  <c r="B39" i="1"/>
  <c r="B43" i="1" l="1"/>
  <c r="D13" i="4"/>
  <c r="D15" i="4" s="1"/>
  <c r="D23" i="4" l="1"/>
  <c r="C65" i="1" s="1"/>
  <c r="B35" i="1"/>
  <c r="B65" i="1" l="1"/>
  <c r="C31" i="1"/>
  <c r="C62" i="1" s="1"/>
  <c r="C45" i="1" l="1"/>
  <c r="D3" i="4"/>
  <c r="D4" i="4" s="1"/>
  <c r="D5" i="4" s="1"/>
  <c r="D20" i="4" s="1"/>
  <c r="D25" i="4" s="1"/>
  <c r="B62" i="1" l="1"/>
  <c r="B67" i="1" s="1"/>
  <c r="C67" i="1"/>
  <c r="D29" i="4"/>
  <c r="D30" i="4" s="1"/>
  <c r="C34" i="1" l="1"/>
  <c r="B34" i="1" s="1"/>
  <c r="D34" i="4"/>
  <c r="D36" i="4" s="1"/>
  <c r="C36" i="1" l="1"/>
  <c r="C51" i="1"/>
  <c r="D37" i="4"/>
  <c r="B36" i="1" l="1"/>
  <c r="C37" i="1"/>
  <c r="B37" i="1" s="1"/>
  <c r="B41" i="1" l="1"/>
  <c r="B44" i="1" s="1"/>
  <c r="C41" i="1"/>
  <c r="C44" i="1" s="1"/>
  <c r="C46" i="1" s="1"/>
  <c r="C56" i="1" l="1"/>
  <c r="C59" i="1" s="1"/>
  <c r="C50" i="1"/>
  <c r="C53" i="1" s="1"/>
</calcChain>
</file>

<file path=xl/sharedStrings.xml><?xml version="1.0" encoding="utf-8"?>
<sst xmlns="http://schemas.openxmlformats.org/spreadsheetml/2006/main" count="215" uniqueCount="197">
  <si>
    <t>Omschrijving</t>
  </si>
  <si>
    <t>Invulveld</t>
  </si>
  <si>
    <t>Opmerking</t>
  </si>
  <si>
    <t>Naam van de predikant</t>
  </si>
  <si>
    <t>minder dan 350</t>
  </si>
  <si>
    <t>Deeltijdfactor in procenten</t>
  </si>
  <si>
    <t>ja</t>
  </si>
  <si>
    <t>Bijdrage zorgverzekering</t>
  </si>
  <si>
    <t>Jaarlijks totaal uit te betalen</t>
  </si>
  <si>
    <t>- het aantal CAO-uren (regelingsuren) per week</t>
  </si>
  <si>
    <t>- het aantal contracturen per week</t>
  </si>
  <si>
    <t>- de verloonde uren per maand</t>
  </si>
  <si>
    <t>Kolom1</t>
  </si>
  <si>
    <t>a</t>
  </si>
  <si>
    <t>b</t>
  </si>
  <si>
    <t>Vakantietoeslag 8%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</si>
  <si>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</si>
  <si>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</si>
  <si>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</si>
  <si>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</si>
  <si>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</si>
  <si>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</si>
  <si>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</si>
  <si>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</si>
  <si>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</si>
  <si>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</si>
  <si>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</si>
  <si>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vanaf 350</t>
  </si>
  <si>
    <t>nee</t>
  </si>
  <si>
    <t>Aantal leden per predikant</t>
  </si>
  <si>
    <t>&lt; 350 leden</t>
  </si>
  <si>
    <t>&gt;350</t>
  </si>
  <si>
    <t>A</t>
  </si>
  <si>
    <t>B</t>
  </si>
  <si>
    <t>€</t>
  </si>
  <si>
    <t>Berekening bijdrage zorgverzekering</t>
  </si>
  <si>
    <t>Extra grondslag inhouding pensioenpremie</t>
  </si>
  <si>
    <t>Bruto traktement grondslag inhouding emeritaat (c)</t>
  </si>
  <si>
    <t>Bruto grondslag inhouding emeritaat</t>
  </si>
  <si>
    <t>Woningforfait belastingdienst ambtswoning</t>
  </si>
  <si>
    <t>k</t>
  </si>
  <si>
    <t>o</t>
  </si>
  <si>
    <t>p</t>
  </si>
  <si>
    <t>q</t>
  </si>
  <si>
    <t>r</t>
  </si>
  <si>
    <t>Maximale grondslag</t>
  </si>
  <si>
    <t>Percentages</t>
  </si>
  <si>
    <t>Zie website PFZW</t>
  </si>
  <si>
    <t>Opgave bruto grondslag pensioen</t>
  </si>
  <si>
    <t>Factuur van PFZW (kerk- en predikantsdeel)</t>
  </si>
  <si>
    <t>Ambtsjaren/Trede</t>
  </si>
  <si>
    <t>s</t>
  </si>
  <si>
    <t>Berekening vergoeding studeerkamer</t>
  </si>
  <si>
    <t>Naam van de gemeente</t>
  </si>
  <si>
    <t>Info.</t>
  </si>
  <si>
    <t xml:space="preserve">        Franchise voltijd</t>
  </si>
  <si>
    <t xml:space="preserve">        Franchise deeltijd</t>
  </si>
  <si>
    <t>Toelichting</t>
  </si>
  <si>
    <t>Auto km per jaar (P.M.)</t>
  </si>
  <si>
    <t>Fiets km per jaar (P.M.)</t>
  </si>
  <si>
    <t>Persoonlijke toeslag</t>
  </si>
  <si>
    <t>Jaartraktement, rekening houdend met deeltijdpercentage</t>
  </si>
  <si>
    <t>Vergoeding eigen woning boven inhouding traktement (oud-GKv)</t>
  </si>
  <si>
    <t>Opmerkingen/extra informatie (eventueel via mail)</t>
  </si>
  <si>
    <t>Bij een studeerkamer in de eigen woning bestaat recht op vergoeding: dit is per jaar WOZ-waarde x 1,2 % x 1/5 deel.</t>
  </si>
  <si>
    <t>Vergoeding ambtskosten: 50% wel- en 50% niet-afhankelijk deeltijdfactor, jaarbedrag:</t>
  </si>
  <si>
    <t>40% van OP-premie PFZW</t>
  </si>
  <si>
    <t>(WOZ-waarde x perc.woningforfait x 1/5 deel)</t>
  </si>
  <si>
    <t>1/5 deel van bijtelling privégebruik woning</t>
  </si>
  <si>
    <t>Extra grondslag i.v.m. hogere woonvergoeding eigen-woning (oud-GKv)</t>
  </si>
  <si>
    <t>Berekening inhouding pensioenpremie, incl. deeltijdfactor</t>
  </si>
  <si>
    <t>t</t>
  </si>
  <si>
    <t xml:space="preserve">     Maakt de predikant gebruik van studeerkamer in eigen woning</t>
  </si>
  <si>
    <t>Bijdrage zorgverzekering over q.</t>
  </si>
  <si>
    <t>(1)</t>
  </si>
  <si>
    <t>(2)</t>
  </si>
  <si>
    <t>(3)</t>
  </si>
  <si>
    <t>(4)</t>
  </si>
  <si>
    <t>Zie website belastingdienst</t>
  </si>
  <si>
    <t>km</t>
  </si>
  <si>
    <t>- voltijds persoonlijke toeslag</t>
  </si>
  <si>
    <t>- voltijds hogere WOZ-waarde ambtswoning</t>
  </si>
  <si>
    <t>Voltijds traktement/regelingsloon (inclusief de vakantietoeslag)</t>
  </si>
  <si>
    <t>Totaal jaartraktement per jaar</t>
  </si>
  <si>
    <t>Onafhankelijk van deeltijdfactor</t>
  </si>
  <si>
    <t>maandbedrag</t>
  </si>
  <si>
    <t>jaarbedrag</t>
  </si>
  <si>
    <t>van de WOZ-waarde excl. de oppervlakte/waarde van een dergelijke kantoorruimte.</t>
  </si>
  <si>
    <t xml:space="preserve">Inhouding pensioen/emeritaat  </t>
  </si>
  <si>
    <t>Inhouding voor pastorie</t>
  </si>
  <si>
    <t>Bij opgave WOZ-waarde: als de pastorie of woning een studeerkamer heeft met "eigen ingang en toilet", kunt u uitgaan</t>
  </si>
  <si>
    <t>Berekening jaartraktement met FTE%</t>
  </si>
  <si>
    <t>de standaard berekende inhouding volgens het rekenmodel traktementen.</t>
  </si>
  <si>
    <t>Hoe kan vastgesteld worden of in dergelijke gevallen de uitbetaalde woonvergoeding bovenmatig is ?</t>
  </si>
  <si>
    <t>Om het rekenmodel verder juist in te vullen:</t>
  </si>
  <si>
    <t>Bijdrage emeritering (dit is inbegrepen in quotum en aflossing schuld van VSE)</t>
  </si>
  <si>
    <t>p.m.</t>
  </si>
  <si>
    <t>Nadere toelichting</t>
  </si>
  <si>
    <t>(WOZ-waarde zoals genoemd op aanslagbiljet vorig jaar)</t>
  </si>
  <si>
    <t>Zie info. belastingdienst 'woningforfait / bijtelling privégebruik woning'</t>
  </si>
  <si>
    <t>Vakantietoeslag 8%, last voor huidig jaar (Let op bij uitbetaling in mei: uitgaan van traktement juni vorig jaar t/m mei huidig jaar)</t>
  </si>
  <si>
    <t>Jaarlijks totaal uit te betalen aan predikant</t>
  </si>
  <si>
    <t>Woonsituatie</t>
  </si>
  <si>
    <t>(5)</t>
  </si>
  <si>
    <t>Incidenteel kan aan de orde zijn:</t>
  </si>
  <si>
    <t xml:space="preserve">    * tijdelijke toekenning van een persoonlijke toeslag vanwege bijzondere omstandigheden.</t>
  </si>
  <si>
    <t xml:space="preserve">    * overbrugging van inschaling van hoge- naar lagere schaal, bijv. bij afname van het aantal kerkleden</t>
  </si>
  <si>
    <t>Overige variabele kosten</t>
  </si>
  <si>
    <t>Subtotaal traktement</t>
  </si>
  <si>
    <t>Subtotaal traktement en vaste vergoedingen</t>
  </si>
  <si>
    <r>
      <rPr>
        <b/>
        <sz val="16"/>
        <color theme="0"/>
        <rFont val="Century Gothic"/>
        <family val="2"/>
      </rPr>
      <t>A</t>
    </r>
    <r>
      <rPr>
        <b/>
        <sz val="20"/>
        <color theme="0"/>
        <rFont val="Century Gothic"/>
        <family val="2"/>
      </rPr>
      <t xml:space="preserve">. </t>
    </r>
    <r>
      <rPr>
        <b/>
        <sz val="12"/>
        <color theme="0"/>
        <rFont val="Century Gothic"/>
        <family val="2"/>
      </rPr>
      <t xml:space="preserve">  TOTAAL UIT TE BETALEN AAN DE PREDIKANT</t>
    </r>
  </si>
  <si>
    <r>
      <rPr>
        <b/>
        <sz val="16"/>
        <color theme="0"/>
        <rFont val="Century Gothic"/>
        <family val="2"/>
      </rPr>
      <t>B.</t>
    </r>
    <r>
      <rPr>
        <b/>
        <sz val="12"/>
        <color theme="0"/>
        <rFont val="Century Gothic"/>
        <family val="2"/>
      </rPr>
      <t xml:space="preserve"> LASTEN VOOR DE KERK</t>
    </r>
  </si>
  <si>
    <t>Aan predikant uit te betalen bedrag, incl. variabele vergoedingen</t>
  </si>
  <si>
    <t xml:space="preserve">       Ingeval van pensioenvoorziening bij PFZW</t>
  </si>
  <si>
    <t xml:space="preserve">       Ingeval van emeritaatsvoorziening bij VSE</t>
  </si>
  <si>
    <t>Ga verder naar B19</t>
  </si>
  <si>
    <t xml:space="preserve">Indien ja, vul dan WOZ-waarde van de pastorie in; </t>
  </si>
  <si>
    <t>Bedrag traktement volgens schaal/tabel</t>
  </si>
  <si>
    <r>
      <rPr>
        <b/>
        <sz val="12"/>
        <color theme="0"/>
        <rFont val="Century Gothic"/>
        <family val="2"/>
      </rPr>
      <t>SteunpuntKerk</t>
    </r>
    <r>
      <rPr>
        <b/>
        <i/>
        <sz val="12"/>
        <color theme="0"/>
        <rFont val="Century Gothic"/>
        <family val="2"/>
      </rPr>
      <t>en</t>
    </r>
    <r>
      <rPr>
        <b/>
        <sz val="12"/>
        <color theme="0"/>
        <rFont val="Century Gothic"/>
        <family val="2"/>
      </rPr>
      <t>Werk</t>
    </r>
    <r>
      <rPr>
        <b/>
        <sz val="10"/>
        <color theme="0"/>
        <rFont val="Century Gothic"/>
        <family val="2"/>
      </rPr>
      <t xml:space="preserve">
SKW Rekenmodel NGK traktementen en vergoedingen</t>
    </r>
  </si>
  <si>
    <t xml:space="preserve">Bij oud-GKv-predikanten, die een eigen woning bewonen, kon het voorkomen dat de uitbetaalde woonvergoeding hoger was dan </t>
  </si>
  <si>
    <r>
      <t xml:space="preserve">In cel B10 wordt het </t>
    </r>
    <r>
      <rPr>
        <b/>
        <sz val="10"/>
        <rFont val="Century Gothic"/>
        <family val="2"/>
      </rPr>
      <t>maandelijks uit te betalen bedrag door de kerk</t>
    </r>
    <r>
      <rPr>
        <sz val="10"/>
        <rFont val="Century Gothic"/>
        <family val="2"/>
      </rPr>
      <t xml:space="preserve"> opgenomen. </t>
    </r>
  </si>
  <si>
    <t xml:space="preserve">De penningmeester vult voor 15 januari van het nieuwe kalenderjaar het rekenmodel en en stuurt dat digitaal naar SKW: info@steunpuntkerkenwerk.nl. Met behulp van ingevulde gegevens draagt SKW zorg voor de juiste registratie van PFZW voor die NGK predikanten die bij PFZW zijn opgenomen. </t>
  </si>
  <si>
    <t>Schatting jaarkosten (excl. eventueel kosten ambtswoning eigendom kerk)</t>
  </si>
  <si>
    <t>- voltijds extra i.v.m. hogere woonvergoeding bij eigen woning (oud-GKv)</t>
  </si>
  <si>
    <r>
      <rPr>
        <b/>
        <sz val="16"/>
        <color theme="0"/>
        <rFont val="Century Gothic"/>
        <family val="2"/>
      </rPr>
      <t>C.</t>
    </r>
    <r>
      <rPr>
        <b/>
        <sz val="12"/>
        <color theme="0"/>
        <rFont val="Century Gothic"/>
        <family val="2"/>
      </rPr>
      <t xml:space="preserve"> Info. pensioenaangifte, in geval van opgave Pensioenfonds Zorg en Welzijn</t>
    </r>
  </si>
  <si>
    <t>Stel, vergoeding autokosten € 0,35 per km</t>
  </si>
  <si>
    <t>Stel, vergoeding fietskosten € 0,19 per km</t>
  </si>
  <si>
    <t>(6)</t>
  </si>
  <si>
    <t xml:space="preserve">     Jaarbedrag vergoeding eigen woning boven inhouding (oud-GKv)  (4)</t>
  </si>
  <si>
    <r>
      <t xml:space="preserve">In cel B11 wordt het </t>
    </r>
    <r>
      <rPr>
        <b/>
        <sz val="10"/>
        <rFont val="Century Gothic"/>
        <family val="2"/>
      </rPr>
      <t>maandelijks uit te betalen bedrag door de kerk</t>
    </r>
    <r>
      <rPr>
        <sz val="10"/>
        <rFont val="Century Gothic"/>
        <family val="2"/>
      </rPr>
      <t xml:space="preserve"> opgenomen. </t>
    </r>
  </si>
  <si>
    <t>Aanvulling bij overgang lagere inschaling</t>
  </si>
  <si>
    <t>Incidenteel: overgang lagere schaal en/of persoonlijke toeslag</t>
  </si>
  <si>
    <t>- voltijds aanvulling bij overgang lagere inschaling</t>
  </si>
  <si>
    <t>Incidenteel kan onderstaande overgangsmaatregel aan de orde zijn:</t>
  </si>
  <si>
    <t xml:space="preserve">       (zie materiële regelingen, 1 punt C,  "overgangsmaatregel schaal B naar A")</t>
  </si>
  <si>
    <r>
      <rPr>
        <b/>
        <sz val="8"/>
        <rFont val="Century Gothic"/>
        <family val="2"/>
      </rPr>
      <t>Overgangsregeling</t>
    </r>
    <r>
      <rPr>
        <sz val="8"/>
        <rFont val="Century Gothic"/>
        <family val="2"/>
      </rPr>
      <t xml:space="preserve">: tredes 21 t/m 26 zijn geblokkeerd voor periodieken.
Verhoging met halve indexatie 
tot inloop in A20 en B20.
Trede 21-23 zijn vervallen en worden gelijk aan trede 20. </t>
    </r>
  </si>
  <si>
    <t xml:space="preserve">* vul in cel B13 (woont in pastorie van de kerk): "nee"; </t>
  </si>
  <si>
    <t>Bijlage berekeningen 2026</t>
  </si>
  <si>
    <t xml:space="preserve">   * vul in cel B13 (woont in pastorie van de kerk): "ja"; </t>
  </si>
  <si>
    <t xml:space="preserve">   * stel vast wat de afgesproken jaarlijkse woonvergoeding was in 2023, bijv. Eur. 8.500; dan is Eur. 1.500 bovenmatig;</t>
  </si>
  <si>
    <t xml:space="preserve">         (het is de bedoeling dat dit bovenmatige deel in 4 jaar (2024-2027) wordt afgebouwd.</t>
  </si>
  <si>
    <t xml:space="preserve">Traktement volgens schaal, incl. deeltijdfactor </t>
  </si>
  <si>
    <t>Invullen bij studeerkamer in eigen woning</t>
  </si>
  <si>
    <t>Geen basis vakantietoeslag</t>
  </si>
  <si>
    <t xml:space="preserve">         Bij 'ja' -&gt; B14; bij 'nee' -&gt; B16-B18</t>
  </si>
  <si>
    <t xml:space="preserve">         Bij 'nee' -&gt; B18</t>
  </si>
  <si>
    <t>(7)</t>
  </si>
  <si>
    <t xml:space="preserve">Vul hierin het ziektepercentage alsof de predikant voor 100% werkzaam is voor de gemeente. </t>
  </si>
  <si>
    <t>(8)</t>
  </si>
  <si>
    <t>Bij de berekening van het traktement wordt rekening gehouden met de deeltijdfactor en het percentage arbeidsongeschiktheid.</t>
  </si>
  <si>
    <t>Eventuele arbeidsongeschiktheid</t>
  </si>
  <si>
    <t>Als een predikant langer dan één jaar ziek/arbeidsongeschikt is, wordt het traktement verlaagd naar 80%. De vergoeding van</t>
  </si>
  <si>
    <t>bij nee: vul dan de gegevens betreffende de eigen woning in voor eventuele vergoeding studeerkamer.</t>
  </si>
  <si>
    <r>
      <t xml:space="preserve">     Aanvulling bij overgang lagere inschaling</t>
    </r>
    <r>
      <rPr>
        <sz val="8"/>
        <rFont val="Century Gothic"/>
        <family val="2"/>
      </rPr>
      <t xml:space="preserve"> (</t>
    </r>
    <r>
      <rPr>
        <b/>
        <sz val="8"/>
        <rFont val="Century Gothic"/>
        <family val="2"/>
      </rPr>
      <t>bedrag per maand</t>
    </r>
    <r>
      <rPr>
        <sz val="8"/>
        <rFont val="Century Gothic"/>
        <family val="2"/>
      </rPr>
      <t xml:space="preserve">) </t>
    </r>
    <r>
      <rPr>
        <sz val="10"/>
        <rFont val="Century Gothic"/>
        <family val="2"/>
      </rPr>
      <t xml:space="preserve">                  (1)</t>
    </r>
  </si>
  <si>
    <t xml:space="preserve">     Woont de predikant in pastorie / woning van de kerk ?                           (3)</t>
  </si>
  <si>
    <t xml:space="preserve">      Is de predikant één jaar of langer ziek/arbeidsongeschikt                      (5)</t>
  </si>
  <si>
    <t xml:space="preserve">      Percentage ziek zoals bekend bij SKW/arbodienst                                  (6)</t>
  </si>
  <si>
    <t>Vergoeding voor studeerkamer bij eigen woning                                           (8)</t>
  </si>
  <si>
    <t>het variabel deel van de ambtskosten wordt dan ook verlaagd, rekening houdende met percentage arbeidsongeschiktheid.</t>
  </si>
  <si>
    <t>Berekening grondslag voor inhouding ambtswoning</t>
  </si>
  <si>
    <t>Percentage over grondslag inhouding ambtswoning</t>
  </si>
  <si>
    <t>Berekening extra grondslag pensioenpremie i.v.m. WOZ-waarde ambtswoning</t>
  </si>
  <si>
    <t>Voltijds traktement en aanvulling/toeslagen</t>
  </si>
  <si>
    <t>80% van voltijds traktement en aanvulling/toeslagen</t>
  </si>
  <si>
    <t>Voorbeeld: stel predikant heeft deeltijdfactor 70% en is volledig ziek, vul dan bij 'percentage ziek in' 100%.</t>
  </si>
  <si>
    <r>
      <t xml:space="preserve">     Persoonlijke toeslag </t>
    </r>
    <r>
      <rPr>
        <sz val="8"/>
        <rFont val="Century Gothic"/>
        <family val="2"/>
      </rPr>
      <t>(</t>
    </r>
    <r>
      <rPr>
        <b/>
        <sz val="8"/>
        <rFont val="Century Gothic"/>
        <family val="2"/>
      </rPr>
      <t>bedrag per maand</t>
    </r>
    <r>
      <rPr>
        <sz val="8"/>
        <rFont val="Century Gothic"/>
        <family val="2"/>
      </rPr>
      <t xml:space="preserve">) </t>
    </r>
    <r>
      <rPr>
        <sz val="10"/>
        <rFont val="Century Gothic"/>
        <family val="2"/>
      </rPr>
      <t xml:space="preserve">                                                          (2)</t>
    </r>
  </si>
  <si>
    <t>u</t>
  </si>
  <si>
    <t>v</t>
  </si>
  <si>
    <t>w</t>
  </si>
  <si>
    <t>x</t>
  </si>
  <si>
    <t>y</t>
  </si>
  <si>
    <t>Extra grondslag i.v.m. hogere WOZ-waarde pastorie kerk (i)</t>
  </si>
  <si>
    <t>af: franchise (r)</t>
  </si>
  <si>
    <t>Netto grondslag inhouding emeritaat (o - p)</t>
  </si>
  <si>
    <t>Inhouding pensioenpremie bij predikant (van s)</t>
  </si>
  <si>
    <t>Subtotaal na inhouding emeritaat (o - t)</t>
  </si>
  <si>
    <t>Grondslag bijdrage ZVW (minimum van u, v)</t>
  </si>
  <si>
    <t>Basis voor berekening inhouding huur (d of e)</t>
  </si>
  <si>
    <t>Inhouding bewoning pastorie (op basis van d of e)</t>
  </si>
  <si>
    <t>Vergoeding Algemene ambtskosten                                                                  (7)</t>
  </si>
  <si>
    <r>
      <t xml:space="preserve">Vul alleen de </t>
    </r>
    <r>
      <rPr>
        <b/>
        <sz val="10"/>
        <color theme="6" tint="-0.499984740745262"/>
        <rFont val="Century Gothic"/>
        <family val="2"/>
      </rPr>
      <t>groene</t>
    </r>
    <r>
      <rPr>
        <b/>
        <sz val="9"/>
        <rFont val="Century Gothic"/>
        <family val="2"/>
      </rPr>
      <t xml:space="preserve"> velden in. Ga met "tab-toets" naar het volgende invulveld. Met deze gegevens worden de maand- en jaarbedragen berekend. </t>
    </r>
  </si>
  <si>
    <t xml:space="preserve">Voltijds grondslag </t>
  </si>
  <si>
    <t>Zie tabblad 'berekeningen', cel D21 naar FTE 100%</t>
  </si>
  <si>
    <t>Zie tabblad 'berekeningen', cel D22 naar FTE 100%</t>
  </si>
  <si>
    <t>Zie tabblad 'berekeningen', cel D23 naar FTE 100%</t>
  </si>
  <si>
    <t>Zie tabblad 'berekeningen', cel D24 naar FTE 100%</t>
  </si>
  <si>
    <t>Zie tabblad 'rekenmodel 2026', cel B32 x 12 x 1,08</t>
  </si>
  <si>
    <t>* vul in cel B18 de bovenmatige jaarlijkse woonvergoeding in (stel bij voorbeeldbedragen hiervoor: Eur. 375).</t>
  </si>
  <si>
    <t>Traktementstabel 2026</t>
  </si>
  <si>
    <t>Overig bijv.: belastingadviseur € 550, supervisietraject € 500, nascholing € 2.000</t>
  </si>
  <si>
    <t xml:space="preserve">   * ga in cel C35 na wat het standaard berekend jaarbedrag is voor "inhouding pastorie"; stel Eur. 7.000;</t>
  </si>
  <si>
    <t xml:space="preserve">Dit bedrag verhoogt ook het maandelijks vakantiegeld (uit te betalen in mei) en event. de inhouding voor pastorie. </t>
  </si>
  <si>
    <t>Dit bedrag verhoogt NIET het maandelijks vakantiegeld, wel event. de inhouding voor de pastorie.</t>
  </si>
  <si>
    <t>Dit verhoogt vakantietoeslag</t>
  </si>
  <si>
    <t>Voltijds grondslag bij (deel-)ziekte</t>
  </si>
  <si>
    <t>Rekenmodel d.d. 31 maart 2026</t>
  </si>
  <si>
    <t>predikant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</si>
</sst>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34" x14ac:knownFonts="1">
    <font>
      <sz val="10"/>
      <name val="Courier New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8"/>
      <name val="Courier New"/>
      <family val="3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0"/>
      <name val="Century Gothic"/>
      <family val="2"/>
    </font>
    <font>
      <sz val="10"/>
      <name val="Arial"/>
      <family val="2"/>
    </font>
    <font>
      <sz val="7"/>
      <name val="Century Gothic"/>
      <family val="2"/>
    </font>
    <font>
      <sz val="7"/>
      <color theme="1"/>
      <name val="Century Gothic"/>
      <family val="2"/>
    </font>
    <font>
      <b/>
      <sz val="8"/>
      <name val="Century Gothic"/>
      <family val="2"/>
    </font>
    <font>
      <sz val="7"/>
      <name val="Times New Roman"/>
      <family val="1"/>
    </font>
    <font>
      <sz val="10"/>
      <color rgb="FFFF0000"/>
      <name val="Century Gothic"/>
      <family val="2"/>
    </font>
    <font>
      <strike/>
      <sz val="9"/>
      <name val="Century Gothic"/>
      <family val="2"/>
    </font>
    <font>
      <b/>
      <sz val="10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8"/>
      <color rgb="FFFFFFFF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6" tint="-0.499984740745262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rgb="FFDC5A5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8CBAD"/>
      </patternFill>
    </fill>
    <fill>
      <patternFill patternType="solid">
        <fgColor indexed="65"/>
        <bgColor rgb="FFF8CBAD"/>
      </patternFill>
    </fill>
    <fill>
      <patternFill patternType="solid">
        <fgColor theme="6" tint="0.39997558519241921"/>
        <bgColor rgb="FFF8CBAD"/>
      </patternFill>
    </fill>
    <fill>
      <patternFill patternType="solid">
        <fgColor theme="5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theme="0"/>
      </patternFill>
    </fill>
    <fill>
      <patternFill patternType="solid">
        <fgColor rgb="FFF2DCDB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7B003B"/>
        <bgColor theme="0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theme="6" tint="0.79998168889431442"/>
        <bgColor rgb="FFF8CBAD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rgb="FFC0504D"/>
      </left>
      <right/>
      <top/>
      <bottom style="thin">
        <color rgb="FFC0504D"/>
      </bottom>
      <diagonal/>
    </border>
    <border>
      <left/>
      <right/>
      <top/>
      <bottom style="thin">
        <color rgb="FFC0504D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 style="thin">
        <color rgb="FFC0504D"/>
      </left>
      <right style="thin">
        <color rgb="FFC0504D"/>
      </right>
      <top style="thin">
        <color rgb="FFC0504D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F2DCDB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F2DCDB"/>
      </right>
      <top style="thin">
        <color indexed="64"/>
      </top>
      <bottom style="double">
        <color indexed="64"/>
      </bottom>
      <diagonal/>
    </border>
    <border>
      <left style="thin">
        <color rgb="FFF2DCDB"/>
      </left>
      <right style="thin">
        <color rgb="FFF2DCDB"/>
      </right>
      <top style="thin">
        <color indexed="64"/>
      </top>
      <bottom style="double">
        <color indexed="64"/>
      </bottom>
      <diagonal/>
    </border>
    <border>
      <left style="thin">
        <color rgb="FFF2DCDB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F2DCDB"/>
      </right>
      <top/>
      <bottom/>
      <diagonal/>
    </border>
    <border>
      <left style="thin">
        <color rgb="FFF2DCDB"/>
      </left>
      <right style="thin">
        <color rgb="FFF2DCDB"/>
      </right>
      <top/>
      <bottom/>
      <diagonal/>
    </border>
    <border>
      <left style="thin">
        <color indexed="64"/>
      </left>
      <right style="thin">
        <color theme="6" tint="0.39994506668294322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C0504D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19" fillId="15" borderId="0" applyNumberFormat="0" applyFont="0" applyBorder="0" applyProtection="0"/>
  </cellStyleXfs>
  <cellXfs count="162">
    <xf numFmtId="0" fontId="0" fillId="0" borderId="0" xfId="0"/>
    <xf numFmtId="0" fontId="5" fillId="0" borderId="0" xfId="1" applyFont="1"/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/>
    <xf numFmtId="3" fontId="7" fillId="0" borderId="0" xfId="1" applyNumberFormat="1" applyFont="1" applyAlignment="1">
      <alignment horizontal="center"/>
    </xf>
    <xf numFmtId="3" fontId="7" fillId="0" borderId="0" xfId="1" applyNumberFormat="1" applyFont="1"/>
    <xf numFmtId="0" fontId="6" fillId="0" borderId="0" xfId="1" applyFont="1" applyAlignment="1">
      <alignment horizontal="center" vertical="center" wrapText="1"/>
    </xf>
    <xf numFmtId="3" fontId="7" fillId="3" borderId="0" xfId="1" applyNumberFormat="1" applyFont="1" applyFill="1" applyAlignment="1">
      <alignment horizontal="center"/>
    </xf>
    <xf numFmtId="4" fontId="7" fillId="4" borderId="0" xfId="0" applyNumberFormat="1" applyFont="1" applyFill="1"/>
    <xf numFmtId="4" fontId="7" fillId="4" borderId="0" xfId="0" applyNumberFormat="1" applyFont="1" applyFill="1" applyAlignment="1">
      <alignment vertical="center"/>
    </xf>
    <xf numFmtId="164" fontId="7" fillId="0" borderId="0" xfId="0" applyNumberFormat="1" applyFont="1"/>
    <xf numFmtId="164" fontId="7" fillId="4" borderId="0" xfId="0" applyNumberFormat="1" applyFont="1" applyFill="1"/>
    <xf numFmtId="4" fontId="8" fillId="9" borderId="0" xfId="0" applyNumberFormat="1" applyFont="1" applyFill="1" applyAlignment="1">
      <alignment horizontal="center" vertical="center"/>
    </xf>
    <xf numFmtId="4" fontId="8" fillId="9" borderId="0" xfId="0" applyNumberFormat="1" applyFont="1" applyFill="1" applyAlignment="1">
      <alignment vertical="center"/>
    </xf>
    <xf numFmtId="4" fontId="8" fillId="9" borderId="4" xfId="0" applyNumberFormat="1" applyFont="1" applyFill="1" applyBorder="1" applyAlignment="1">
      <alignment horizontal="center" vertical="center"/>
    </xf>
    <xf numFmtId="4" fontId="11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horizontal="center" vertical="center"/>
    </xf>
    <xf numFmtId="4" fontId="8" fillId="9" borderId="0" xfId="0" applyNumberFormat="1" applyFont="1" applyFill="1" applyAlignment="1">
      <alignment horizontal="left" vertical="center" wrapText="1"/>
    </xf>
    <xf numFmtId="4" fontId="8" fillId="11" borderId="0" xfId="0" applyNumberFormat="1" applyFont="1" applyFill="1" applyAlignment="1">
      <alignment horizontal="center" vertical="center"/>
    </xf>
    <xf numFmtId="4" fontId="11" fillId="11" borderId="0" xfId="0" applyNumberFormat="1" applyFont="1" applyFill="1" applyAlignment="1">
      <alignment vertical="center"/>
    </xf>
    <xf numFmtId="4" fontId="8" fillId="11" borderId="0" xfId="0" applyNumberFormat="1" applyFont="1" applyFill="1" applyAlignment="1">
      <alignment vertical="center"/>
    </xf>
    <xf numFmtId="4" fontId="8" fillId="12" borderId="4" xfId="0" applyNumberFormat="1" applyFont="1" applyFill="1" applyBorder="1" applyAlignment="1">
      <alignment vertical="center"/>
    </xf>
    <xf numFmtId="4" fontId="11" fillId="12" borderId="4" xfId="0" applyNumberFormat="1" applyFont="1" applyFill="1" applyBorder="1" applyAlignment="1">
      <alignment vertical="center"/>
    </xf>
    <xf numFmtId="4" fontId="16" fillId="9" borderId="2" xfId="0" applyNumberFormat="1" applyFont="1" applyFill="1" applyBorder="1" applyAlignment="1">
      <alignment vertical="center"/>
    </xf>
    <xf numFmtId="4" fontId="8" fillId="9" borderId="2" xfId="0" applyNumberFormat="1" applyFont="1" applyFill="1" applyBorder="1" applyAlignment="1">
      <alignment vertical="center"/>
    </xf>
    <xf numFmtId="4" fontId="13" fillId="9" borderId="0" xfId="0" applyNumberFormat="1" applyFont="1" applyFill="1" applyAlignment="1">
      <alignment vertical="center"/>
    </xf>
    <xf numFmtId="4" fontId="7" fillId="13" borderId="0" xfId="0" applyNumberFormat="1" applyFont="1" applyFill="1"/>
    <xf numFmtId="3" fontId="7" fillId="7" borderId="5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Border="1" applyAlignment="1">
      <alignment vertical="center"/>
    </xf>
    <xf numFmtId="4" fontId="13" fillId="4" borderId="0" xfId="0" applyNumberFormat="1" applyFont="1" applyFill="1"/>
    <xf numFmtId="4" fontId="8" fillId="9" borderId="18" xfId="0" applyNumberFormat="1" applyFont="1" applyFill="1" applyBorder="1" applyAlignment="1">
      <alignment vertical="center"/>
    </xf>
    <xf numFmtId="4" fontId="8" fillId="9" borderId="19" xfId="0" applyNumberFormat="1" applyFont="1" applyFill="1" applyBorder="1" applyAlignment="1">
      <alignment vertical="center"/>
    </xf>
    <xf numFmtId="4" fontId="8" fillId="12" borderId="3" xfId="0" applyNumberFormat="1" applyFont="1" applyFill="1" applyBorder="1" applyAlignment="1">
      <alignment vertical="center"/>
    </xf>
    <xf numFmtId="4" fontId="8" fillId="9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vertical="center"/>
    </xf>
    <xf numFmtId="4" fontId="13" fillId="9" borderId="1" xfId="0" applyNumberFormat="1" applyFont="1" applyFill="1" applyBorder="1" applyAlignment="1">
      <alignment vertical="center"/>
    </xf>
    <xf numFmtId="4" fontId="10" fillId="0" borderId="1" xfId="0" applyNumberFormat="1" applyFont="1" applyBorder="1"/>
    <xf numFmtId="4" fontId="21" fillId="9" borderId="1" xfId="0" applyNumberFormat="1" applyFont="1" applyFill="1" applyBorder="1" applyAlignment="1">
      <alignment vertical="center"/>
    </xf>
    <xf numFmtId="4" fontId="8" fillId="4" borderId="0" xfId="0" applyNumberFormat="1" applyFont="1" applyFill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11" fillId="10" borderId="5" xfId="0" applyNumberFormat="1" applyFont="1" applyFill="1" applyBorder="1" applyAlignment="1">
      <alignment horizontal="center" vertical="center"/>
    </xf>
    <xf numFmtId="4" fontId="8" fillId="6" borderId="16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1" fontId="6" fillId="7" borderId="5" xfId="0" applyNumberFormat="1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3" fontId="13" fillId="0" borderId="0" xfId="1" applyNumberFormat="1" applyFont="1" applyAlignment="1">
      <alignment horizontal="center"/>
    </xf>
    <xf numFmtId="0" fontId="7" fillId="3" borderId="0" xfId="1" applyFont="1" applyFill="1" applyAlignment="1">
      <alignment horizontal="center"/>
    </xf>
    <xf numFmtId="0" fontId="11" fillId="0" borderId="0" xfId="1" applyFont="1" applyAlignment="1">
      <alignment horizontal="center" vertical="center" wrapText="1"/>
    </xf>
    <xf numFmtId="3" fontId="13" fillId="3" borderId="0" xfId="1" applyNumberFormat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23" fillId="3" borderId="0" xfId="1" applyFont="1" applyFill="1"/>
    <xf numFmtId="0" fontId="11" fillId="0" borderId="0" xfId="1" applyFont="1" applyAlignment="1">
      <alignment horizontal="center"/>
    </xf>
    <xf numFmtId="3" fontId="25" fillId="3" borderId="0" xfId="1" applyNumberFormat="1" applyFont="1" applyFill="1" applyAlignment="1">
      <alignment horizontal="center"/>
    </xf>
    <xf numFmtId="4" fontId="24" fillId="4" borderId="0" xfId="0" applyNumberFormat="1" applyFont="1" applyFill="1" applyAlignment="1">
      <alignment vertical="center"/>
    </xf>
    <xf numFmtId="4" fontId="26" fillId="4" borderId="0" xfId="0" applyNumberFormat="1" applyFont="1" applyFill="1" applyAlignment="1">
      <alignment vertical="center"/>
    </xf>
    <xf numFmtId="10" fontId="11" fillId="16" borderId="0" xfId="0" applyNumberFormat="1" applyFont="1" applyFill="1" applyAlignment="1">
      <alignment vertical="center"/>
    </xf>
    <xf numFmtId="4" fontId="11" fillId="16" borderId="0" xfId="0" applyNumberFormat="1" applyFont="1" applyFill="1" applyAlignment="1">
      <alignment vertical="center"/>
    </xf>
    <xf numFmtId="10" fontId="11" fillId="17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7" fillId="0" borderId="16" xfId="0" applyNumberFormat="1" applyFont="1" applyBorder="1"/>
    <xf numFmtId="4" fontId="7" fillId="0" borderId="8" xfId="0" applyNumberFormat="1" applyFont="1" applyBorder="1"/>
    <xf numFmtId="4" fontId="7" fillId="0" borderId="10" xfId="0" applyNumberFormat="1" applyFont="1" applyBorder="1"/>
    <xf numFmtId="0" fontId="27" fillId="14" borderId="0" xfId="0" applyFont="1" applyFill="1" applyAlignment="1">
      <alignment vertical="center" wrapText="1"/>
    </xf>
    <xf numFmtId="4" fontId="7" fillId="4" borderId="0" xfId="0" applyNumberFormat="1" applyFont="1" applyFill="1" applyAlignment="1">
      <alignment horizontal="left" vertical="center" wrapText="1"/>
    </xf>
    <xf numFmtId="4" fontId="7" fillId="6" borderId="12" xfId="0" applyNumberFormat="1" applyFont="1" applyFill="1" applyBorder="1" applyAlignment="1">
      <alignment vertical="center"/>
    </xf>
    <xf numFmtId="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horizontal="left" vertical="center" wrapText="1"/>
    </xf>
    <xf numFmtId="4" fontId="6" fillId="6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top"/>
    </xf>
    <xf numFmtId="4" fontId="7" fillId="9" borderId="0" xfId="0" applyNumberFormat="1" applyFont="1" applyFill="1" applyAlignment="1">
      <alignment vertical="center"/>
    </xf>
    <xf numFmtId="1" fontId="6" fillId="7" borderId="14" xfId="0" applyNumberFormat="1" applyFont="1" applyFill="1" applyBorder="1" applyAlignment="1" applyProtection="1">
      <alignment horizontal="right" vertical="center"/>
      <protection locked="0"/>
    </xf>
    <xf numFmtId="4" fontId="6" fillId="9" borderId="0" xfId="0" applyNumberFormat="1" applyFont="1" applyFill="1" applyAlignment="1">
      <alignment vertical="center"/>
    </xf>
    <xf numFmtId="4" fontId="7" fillId="6" borderId="6" xfId="0" applyNumberFormat="1" applyFont="1" applyFill="1" applyBorder="1" applyAlignment="1">
      <alignment vertical="center"/>
    </xf>
    <xf numFmtId="4" fontId="9" fillId="8" borderId="20" xfId="0" applyNumberFormat="1" applyFont="1" applyFill="1" applyBorder="1" applyAlignment="1">
      <alignment horizontal="center" vertical="center" wrapText="1"/>
    </xf>
    <xf numFmtId="4" fontId="9" fillId="8" borderId="21" xfId="0" applyNumberFormat="1" applyFont="1" applyFill="1" applyBorder="1" applyAlignment="1">
      <alignment horizontal="center" vertical="center" wrapText="1"/>
    </xf>
    <xf numFmtId="4" fontId="9" fillId="8" borderId="22" xfId="0" applyNumberFormat="1" applyFont="1" applyFill="1" applyBorder="1" applyAlignment="1">
      <alignment horizontal="right" vertical="center" wrapText="1"/>
    </xf>
    <xf numFmtId="4" fontId="9" fillId="8" borderId="23" xfId="0" applyNumberFormat="1" applyFont="1" applyFill="1" applyBorder="1" applyAlignment="1">
      <alignment horizontal="right" vertical="center" wrapText="1"/>
    </xf>
    <xf numFmtId="4" fontId="6" fillId="9" borderId="24" xfId="0" applyNumberFormat="1" applyFont="1" applyFill="1" applyBorder="1" applyAlignment="1">
      <alignment vertical="center"/>
    </xf>
    <xf numFmtId="4" fontId="7" fillId="9" borderId="9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right" vertical="center"/>
    </xf>
    <xf numFmtId="4" fontId="7" fillId="9" borderId="25" xfId="0" applyNumberFormat="1" applyFont="1" applyFill="1" applyBorder="1" applyAlignment="1">
      <alignment vertical="center"/>
    </xf>
    <xf numFmtId="4" fontId="6" fillId="12" borderId="26" xfId="0" applyNumberFormat="1" applyFont="1" applyFill="1" applyBorder="1" applyAlignment="1">
      <alignment vertical="center"/>
    </xf>
    <xf numFmtId="4" fontId="7" fillId="9" borderId="27" xfId="0" applyNumberFormat="1" applyFont="1" applyFill="1" applyBorder="1" applyAlignment="1">
      <alignment vertical="center"/>
    </xf>
    <xf numFmtId="4" fontId="7" fillId="9" borderId="0" xfId="0" applyNumberFormat="1" applyFont="1" applyFill="1" applyAlignment="1">
      <alignment vertical="center" wrapText="1"/>
    </xf>
    <xf numFmtId="4" fontId="6" fillId="0" borderId="28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6" fillId="12" borderId="31" xfId="0" applyNumberFormat="1" applyFont="1" applyFill="1" applyBorder="1" applyAlignment="1">
      <alignment vertical="center"/>
    </xf>
    <xf numFmtId="4" fontId="6" fillId="12" borderId="32" xfId="0" applyNumberFormat="1" applyFont="1" applyFill="1" applyBorder="1" applyAlignment="1">
      <alignment vertical="center"/>
    </xf>
    <xf numFmtId="0" fontId="7" fillId="0" borderId="0" xfId="0" applyFont="1"/>
    <xf numFmtId="0" fontId="17" fillId="2" borderId="0" xfId="0" applyFont="1" applyFill="1" applyAlignment="1">
      <alignment vertical="center" wrapText="1"/>
    </xf>
    <xf numFmtId="4" fontId="6" fillId="10" borderId="0" xfId="0" applyNumberFormat="1" applyFont="1" applyFill="1" applyAlignment="1">
      <alignment horizontal="center" vertical="center"/>
    </xf>
    <xf numFmtId="4" fontId="6" fillId="10" borderId="0" xfId="0" applyNumberFormat="1" applyFont="1" applyFill="1" applyAlignment="1">
      <alignment horizontal="left" vertical="center"/>
    </xf>
    <xf numFmtId="4" fontId="7" fillId="10" borderId="0" xfId="0" applyNumberFormat="1" applyFont="1" applyFill="1"/>
    <xf numFmtId="0" fontId="15" fillId="10" borderId="0" xfId="0" applyFont="1" applyFill="1" applyAlignment="1">
      <alignment horizontal="left" vertical="center" wrapText="1"/>
    </xf>
    <xf numFmtId="0" fontId="15" fillId="10" borderId="0" xfId="0" applyFont="1" applyFill="1" applyAlignment="1">
      <alignment vertical="top"/>
    </xf>
    <xf numFmtId="0" fontId="15" fillId="10" borderId="0" xfId="0" applyFont="1" applyFill="1" applyAlignment="1">
      <alignment horizontal="right" vertical="center"/>
    </xf>
    <xf numFmtId="49" fontId="7" fillId="0" borderId="17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/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13" fillId="4" borderId="0" xfId="0" applyNumberFormat="1" applyFont="1" applyFill="1" applyAlignment="1">
      <alignment vertical="center"/>
    </xf>
    <xf numFmtId="0" fontId="32" fillId="14" borderId="34" xfId="0" applyFont="1" applyFill="1" applyBorder="1" applyAlignment="1">
      <alignment vertical="top" wrapText="1"/>
    </xf>
    <xf numFmtId="0" fontId="28" fillId="14" borderId="0" xfId="0" applyFont="1" applyFill="1" applyAlignment="1">
      <alignment vertical="top" wrapText="1"/>
    </xf>
    <xf numFmtId="0" fontId="29" fillId="14" borderId="0" xfId="0" applyFont="1" applyFill="1" applyAlignment="1">
      <alignment horizontal="right"/>
    </xf>
    <xf numFmtId="0" fontId="29" fillId="14" borderId="34" xfId="0" applyFont="1" applyFill="1" applyBorder="1" applyAlignment="1">
      <alignment horizontal="right"/>
    </xf>
    <xf numFmtId="49" fontId="7" fillId="0" borderId="11" xfId="0" applyNumberFormat="1" applyFont="1" applyBorder="1" applyAlignment="1">
      <alignment horizontal="center" vertical="center"/>
    </xf>
    <xf numFmtId="4" fontId="17" fillId="8" borderId="35" xfId="0" applyNumberFormat="1" applyFont="1" applyFill="1" applyBorder="1" applyAlignment="1">
      <alignment vertical="center"/>
    </xf>
    <xf numFmtId="4" fontId="14" fillId="19" borderId="0" xfId="0" applyNumberFormat="1" applyFont="1" applyFill="1" applyAlignment="1">
      <alignment horizontal="right" vertical="center"/>
    </xf>
    <xf numFmtId="4" fontId="14" fillId="19" borderId="0" xfId="0" applyNumberFormat="1" applyFont="1" applyFill="1" applyAlignment="1">
      <alignment horizontal="center" vertical="center"/>
    </xf>
    <xf numFmtId="4" fontId="8" fillId="18" borderId="13" xfId="0" applyNumberFormat="1" applyFont="1" applyFill="1" applyBorder="1" applyAlignment="1">
      <alignment vertical="center"/>
    </xf>
    <xf numFmtId="49" fontId="7" fillId="7" borderId="33" xfId="0" applyNumberFormat="1" applyFont="1" applyFill="1" applyBorder="1" applyAlignment="1" applyProtection="1">
      <alignment vertical="center"/>
      <protection locked="0"/>
    </xf>
    <xf numFmtId="0" fontId="30" fillId="14" borderId="0" xfId="0" applyFont="1" applyFill="1" applyAlignment="1">
      <alignment horizontal="center" vertical="center" wrapText="1"/>
    </xf>
    <xf numFmtId="3" fontId="3" fillId="9" borderId="0" xfId="0" applyNumberFormat="1" applyFont="1" applyFill="1" applyAlignment="1">
      <alignment vertical="center"/>
    </xf>
    <xf numFmtId="3" fontId="15" fillId="9" borderId="0" xfId="0" applyNumberFormat="1" applyFont="1" applyFill="1" applyAlignment="1">
      <alignment vertical="center"/>
    </xf>
    <xf numFmtId="3" fontId="7" fillId="0" borderId="0" xfId="0" applyNumberFormat="1" applyFont="1"/>
    <xf numFmtId="3" fontId="15" fillId="10" borderId="0" xfId="0" applyNumberFormat="1" applyFont="1" applyFill="1" applyAlignment="1">
      <alignment horizontal="right" vertical="center"/>
    </xf>
    <xf numFmtId="3" fontId="2" fillId="9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0" fontId="7" fillId="9" borderId="0" xfId="0" applyNumberFormat="1" applyFont="1" applyFill="1" applyAlignment="1">
      <alignment vertical="center"/>
    </xf>
    <xf numFmtId="3" fontId="7" fillId="7" borderId="5" xfId="0" applyNumberFormat="1" applyFont="1" applyFill="1" applyBorder="1" applyAlignment="1" applyProtection="1">
      <alignment horizontal="left" vertical="center"/>
      <protection locked="0"/>
    </xf>
    <xf numFmtId="4" fontId="7" fillId="7" borderId="5" xfId="0" applyNumberFormat="1" applyFont="1" applyFill="1" applyBorder="1" applyAlignment="1" applyProtection="1">
      <alignment horizontal="left" vertical="center"/>
      <protection locked="0"/>
    </xf>
    <xf numFmtId="49" fontId="7" fillId="9" borderId="0" xfId="0" applyNumberFormat="1" applyFont="1" applyFill="1" applyAlignment="1">
      <alignment vertical="center"/>
    </xf>
    <xf numFmtId="4" fontId="6" fillId="9" borderId="36" xfId="0" applyNumberFormat="1" applyFont="1" applyFill="1" applyBorder="1" applyAlignment="1">
      <alignment vertical="center"/>
    </xf>
    <xf numFmtId="4" fontId="7" fillId="9" borderId="6" xfId="0" applyNumberFormat="1" applyFont="1" applyFill="1" applyBorder="1" applyAlignment="1">
      <alignment vertical="center"/>
    </xf>
    <xf numFmtId="4" fontId="22" fillId="9" borderId="0" xfId="0" applyNumberFormat="1" applyFont="1" applyFill="1" applyAlignment="1">
      <alignment vertical="center"/>
    </xf>
    <xf numFmtId="3" fontId="7" fillId="7" borderId="5" xfId="0" applyNumberFormat="1" applyFont="1" applyFill="1" applyBorder="1" applyAlignment="1" applyProtection="1">
      <alignment horizontal="right" vertical="center"/>
      <protection locked="0"/>
    </xf>
    <xf numFmtId="3" fontId="1" fillId="21" borderId="5" xfId="0" applyNumberFormat="1" applyFont="1" applyFill="1" applyBorder="1" applyAlignment="1" applyProtection="1">
      <alignment horizontal="right" vertical="center"/>
      <protection locked="0"/>
    </xf>
    <xf numFmtId="4" fontId="15" fillId="6" borderId="37" xfId="0" applyNumberFormat="1" applyFont="1" applyFill="1" applyBorder="1" applyAlignment="1">
      <alignment vertical="center"/>
    </xf>
    <xf numFmtId="4" fontId="1" fillId="6" borderId="37" xfId="0" applyNumberFormat="1" applyFont="1" applyFill="1" applyBorder="1" applyAlignment="1">
      <alignment vertical="center"/>
    </xf>
    <xf numFmtId="4" fontId="1" fillId="6" borderId="38" xfId="0" applyNumberFormat="1" applyFont="1" applyFill="1" applyBorder="1" applyAlignment="1">
      <alignment vertical="center"/>
    </xf>
    <xf numFmtId="4" fontId="8" fillId="20" borderId="0" xfId="0" applyNumberFormat="1" applyFont="1" applyFill="1" applyAlignment="1">
      <alignment vertical="center"/>
    </xf>
    <xf numFmtId="4" fontId="8" fillId="6" borderId="0" xfId="0" applyNumberFormat="1" applyFont="1" applyFill="1" applyAlignment="1">
      <alignment vertical="center"/>
    </xf>
    <xf numFmtId="0" fontId="20" fillId="0" borderId="39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7" borderId="5" xfId="0" applyNumberFormat="1" applyFont="1" applyFill="1" applyBorder="1" applyAlignment="1" applyProtection="1">
      <alignment vertical="center"/>
      <protection locked="0"/>
    </xf>
    <xf numFmtId="4" fontId="22" fillId="0" borderId="6" xfId="0" applyNumberFormat="1" applyFont="1" applyBorder="1"/>
    <xf numFmtId="10" fontId="1" fillId="21" borderId="5" xfId="0" applyNumberFormat="1" applyFont="1" applyFill="1" applyBorder="1" applyAlignment="1" applyProtection="1">
      <alignment vertical="center"/>
      <protection locked="0"/>
    </xf>
    <xf numFmtId="10" fontId="6" fillId="7" borderId="5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Alignment="1">
      <alignment vertical="center"/>
    </xf>
    <xf numFmtId="4" fontId="11" fillId="5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1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9" fillId="19" borderId="0" xfId="0" applyNumberFormat="1" applyFont="1" applyFill="1" applyAlignment="1">
      <alignment horizontal="center" vertical="center"/>
    </xf>
    <xf numFmtId="0" fontId="13" fillId="3" borderId="0" xfId="1" applyFont="1" applyFill="1" applyAlignment="1">
      <alignment vertical="top" wrapText="1"/>
    </xf>
    <xf numFmtId="0" fontId="0" fillId="0" borderId="0" xfId="0" applyAlignment="1">
      <alignment vertical="top"/>
    </xf>
  </cellXfs>
  <cellStyles count="4">
    <cellStyle name="Normaal" xfId="3" xr:uid="{44E09C3B-FC38-4E65-879A-C75AA3443FC7}"/>
    <cellStyle name="Normal 2" xfId="1" xr:uid="{00000000-0005-0000-0000-000000000000}"/>
    <cellStyle name="Standaard" xfId="0" builtinId="0"/>
    <cellStyle name="Standaard 3" xfId="2" xr:uid="{E28109B2-6FC0-4ED9-88BF-BDD6E22846ED}"/>
  </cellStyles>
  <dxfs count="22">
    <dxf>
      <font>
        <b/>
        <i val="0"/>
        <color rgb="FFFF0000"/>
      </font>
      <border>
        <vertical/>
        <horizontal/>
      </border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fill>
        <patternFill patternType="none">
          <fgColor theme="0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numFmt numFmtId="164" formatCode="#,##0.0"/>
      <fill>
        <patternFill>
          <fgColor theme="0"/>
        </patternFill>
      </fill>
      <border diagonalUp="0" diagonalDown="0">
        <left/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rgb="FFF8CBAD"/>
          <bgColor theme="6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fill>
        <patternFill>
          <fgColor rgb="FFF8CBAD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7B003B"/>
      <color rgb="FFF2DCDB"/>
      <color rgb="FFC0504D"/>
      <color rgb="FFFFFFFF"/>
      <color rgb="FFDA9694"/>
      <color rgb="FFF8CBAD"/>
      <color rgb="FF000000"/>
      <color rgb="FFD84848"/>
      <color rgb="FFDC5A5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D26" totalsRowShown="0" headerRowDxfId="21" dataDxfId="20">
  <tableColumns count="4">
    <tableColumn id="1" xr3:uid="{C065C88A-4BD3-4D58-A80C-890EC9A5269B}" name="Omschrijving" dataDxfId="19"/>
    <tableColumn id="2" xr3:uid="{7EACE3D8-5AB4-4717-8AD3-96A98C9B160E}" name="Invulveld" dataDxfId="18"/>
    <tableColumn id="3" xr3:uid="{8C84DDBC-ECA9-4E7D-A9DE-3C0BA738196E}" name="Opmerking" dataDxfId="17"/>
    <tableColumn id="4" xr3:uid="{08E8A2CE-E746-489B-B686-85305CC82680}" name="Kolom1" dataDxfId="16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28:C46" totalsRowShown="0" headerRowDxfId="15" dataDxfId="13" headerRowBorderDxfId="14">
  <tableColumns count="3">
    <tableColumn id="1" xr3:uid="{BF122C0C-6FB8-45D0-B631-A733E8C5583B}" name="Omschrijving" dataDxfId="12"/>
    <tableColumn id="2" xr3:uid="{A6FB7DEF-5554-4F45-9A7A-ED8A320BF537}" name="maandbedrag" dataDxfId="11"/>
    <tableColumn id="3" xr3:uid="{99FD2B0D-1B70-4156-8447-9C4F372B6F3A}" name="jaarbedrag" dataDxfId="1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showGridLines="0" tabSelected="1" zoomScale="80" zoomScaleNormal="80" workbookViewId="0">
      <pane ySplit="2" topLeftCell="A35" activePane="bottomLeft" state="frozen"/>
      <selection pane="bottomLeft" activeCell="F37" sqref="F37"/>
    </sheetView>
  </sheetViews>
  <sheetFormatPr defaultColWidth="12.69921875" defaultRowHeight="13.2" x14ac:dyDescent="0.25"/>
  <cols>
    <col min="1" max="1" width="64.8984375" style="3" customWidth="1"/>
    <col min="2" max="2" width="16.796875" style="3" customWidth="1"/>
    <col min="3" max="3" width="23.8984375" style="3" customWidth="1"/>
    <col min="4" max="4" width="8.19921875" style="13" customWidth="1"/>
    <col min="5" max="5" width="7.69921875" style="3" customWidth="1"/>
    <col min="6" max="6" width="102.19921875" style="3" customWidth="1"/>
    <col min="7" max="7" width="13" style="3" customWidth="1"/>
    <col min="8" max="16384" width="12.69921875" style="3"/>
  </cols>
  <sheetData>
    <row r="1" spans="1:7" ht="40.5" customHeight="1" x14ac:dyDescent="0.25">
      <c r="A1" s="72" t="s">
        <v>118</v>
      </c>
      <c r="B1" s="125">
        <v>2026</v>
      </c>
      <c r="C1" s="43"/>
      <c r="E1" s="101"/>
      <c r="F1" s="102"/>
      <c r="G1" s="101"/>
    </row>
    <row r="2" spans="1:7" ht="29.4" customHeight="1" x14ac:dyDescent="0.25">
      <c r="A2" s="155" t="s">
        <v>180</v>
      </c>
      <c r="B2" s="156"/>
      <c r="C2" s="43"/>
      <c r="E2" s="101" t="s">
        <v>54</v>
      </c>
      <c r="F2" s="102" t="s">
        <v>97</v>
      </c>
      <c r="G2" s="103"/>
    </row>
    <row r="3" spans="1:7" ht="12.6" customHeight="1" x14ac:dyDescent="0.25">
      <c r="A3" s="76" t="s">
        <v>0</v>
      </c>
      <c r="B3" s="76" t="s">
        <v>1</v>
      </c>
      <c r="C3" s="43" t="s">
        <v>2</v>
      </c>
      <c r="D3" s="73" t="s">
        <v>12</v>
      </c>
    </row>
    <row r="4" spans="1:7" ht="19.8" customHeight="1" x14ac:dyDescent="0.25">
      <c r="A4" s="75" t="s">
        <v>53</v>
      </c>
      <c r="B4" s="133"/>
      <c r="C4" s="75"/>
      <c r="D4" s="14"/>
      <c r="E4" s="107" t="s">
        <v>74</v>
      </c>
      <c r="F4" s="108" t="s">
        <v>133</v>
      </c>
      <c r="G4" s="109"/>
    </row>
    <row r="5" spans="1:7" ht="19.8" customHeight="1" x14ac:dyDescent="0.25">
      <c r="A5" s="76" t="s">
        <v>3</v>
      </c>
      <c r="B5" s="134" t="s">
        <v>196</v>
      </c>
      <c r="C5" s="75"/>
      <c r="D5" s="14"/>
      <c r="E5" s="69"/>
      <c r="F5" s="2" t="s">
        <v>106</v>
      </c>
      <c r="G5" s="70"/>
    </row>
    <row r="6" spans="1:7" ht="19.8" customHeight="1" x14ac:dyDescent="0.25">
      <c r="A6" s="14" t="str">
        <f>"Inschaling op basis van aantal leden per predikant vanaf januari "&amp;B1</f>
        <v>Inschaling op basis van aantal leden per predikant vanaf januari 2026</v>
      </c>
      <c r="B6" s="80" t="s">
        <v>4</v>
      </c>
      <c r="C6" s="63"/>
      <c r="D6" s="14"/>
      <c r="E6" s="69"/>
      <c r="F6" s="2" t="s">
        <v>134</v>
      </c>
      <c r="G6" s="70"/>
    </row>
    <row r="7" spans="1:7" s="2" customFormat="1" ht="19.8" customHeight="1" x14ac:dyDescent="0.25">
      <c r="A7" s="75" t="str">
        <f>"Trede traktementsschaal "&amp;B1</f>
        <v>Trede traktementsschaal 2026</v>
      </c>
      <c r="B7" s="52">
        <v>9</v>
      </c>
      <c r="C7" s="64" t="str">
        <f>IF(B7=21,"     Trede 21 is vervallen, kies 20",IF(B7=22,"     Trede 22 is vervallen, kies 20",IF(B7=23,"     Trede 23 is vervallen, kies 20","  ")))</f>
        <v xml:space="preserve">  </v>
      </c>
      <c r="D7" s="14"/>
      <c r="E7" s="69"/>
      <c r="F7" s="2" t="s">
        <v>120</v>
      </c>
      <c r="G7" s="70"/>
    </row>
    <row r="8" spans="1:7" s="2" customFormat="1" ht="19.8" customHeight="1" x14ac:dyDescent="0.25">
      <c r="A8" s="75" t="s">
        <v>5</v>
      </c>
      <c r="B8" s="153">
        <v>1</v>
      </c>
      <c r="C8" s="43"/>
      <c r="D8" s="14"/>
      <c r="E8" s="69"/>
      <c r="F8" s="110" t="s">
        <v>191</v>
      </c>
      <c r="G8" s="71"/>
    </row>
    <row r="9" spans="1:7" s="2" customFormat="1" ht="19.8" customHeight="1" x14ac:dyDescent="0.25">
      <c r="A9" s="77" t="s">
        <v>131</v>
      </c>
      <c r="B9" s="74"/>
      <c r="C9" s="43"/>
      <c r="D9" s="14"/>
      <c r="E9" s="107" t="s">
        <v>75</v>
      </c>
      <c r="F9" s="2" t="s">
        <v>104</v>
      </c>
      <c r="G9" s="70"/>
    </row>
    <row r="10" spans="1:7" s="2" customFormat="1" ht="19.8" customHeight="1" x14ac:dyDescent="0.25">
      <c r="A10" s="75" t="s">
        <v>153</v>
      </c>
      <c r="B10" s="150">
        <v>0</v>
      </c>
      <c r="C10" s="43" t="s">
        <v>193</v>
      </c>
      <c r="D10" s="14"/>
      <c r="E10" s="69"/>
      <c r="F10" s="2" t="s">
        <v>105</v>
      </c>
      <c r="G10" s="70"/>
    </row>
    <row r="11" spans="1:7" s="2" customFormat="1" ht="19.8" customHeight="1" x14ac:dyDescent="0.25">
      <c r="A11" s="75" t="s">
        <v>165</v>
      </c>
      <c r="B11" s="150">
        <v>0</v>
      </c>
      <c r="C11" s="43" t="s">
        <v>143</v>
      </c>
      <c r="D11" s="14"/>
      <c r="E11" s="69"/>
      <c r="F11" s="2" t="s">
        <v>129</v>
      </c>
      <c r="G11" s="70"/>
    </row>
    <row r="12" spans="1:7" s="2" customFormat="1" ht="19.8" customHeight="1" x14ac:dyDescent="0.25">
      <c r="A12" s="77" t="s">
        <v>102</v>
      </c>
      <c r="B12" s="63"/>
      <c r="C12" s="63"/>
      <c r="D12" s="14"/>
      <c r="E12" s="69"/>
      <c r="F12" s="2" t="s">
        <v>192</v>
      </c>
      <c r="G12" s="70"/>
    </row>
    <row r="13" spans="1:7" s="2" customFormat="1" ht="19.8" customHeight="1" x14ac:dyDescent="0.3">
      <c r="A13" s="75" t="s">
        <v>154</v>
      </c>
      <c r="B13" s="139" t="s">
        <v>6</v>
      </c>
      <c r="C13" s="144" t="s">
        <v>144</v>
      </c>
      <c r="D13" s="14"/>
      <c r="E13" s="107" t="s">
        <v>76</v>
      </c>
      <c r="F13" s="46" t="s">
        <v>116</v>
      </c>
      <c r="G13" s="47"/>
    </row>
    <row r="14" spans="1:7" s="2" customFormat="1" ht="19.8" customHeight="1" x14ac:dyDescent="0.3">
      <c r="A14" s="75" t="str">
        <f>"     WOZ-waarde ambtswoning per 1-1-"&amp;B1-2&amp;" (zie aanslag "&amp;B1-"1"&amp;")"</f>
        <v xml:space="preserve">     WOZ-waarde ambtswoning per 1-1-2024 (zie aanslag 2025)</v>
      </c>
      <c r="B14" s="32">
        <v>500000</v>
      </c>
      <c r="C14" s="144" t="s">
        <v>115</v>
      </c>
      <c r="D14" s="14"/>
      <c r="E14" s="33"/>
      <c r="F14" s="110" t="s">
        <v>152</v>
      </c>
      <c r="G14" s="111"/>
    </row>
    <row r="15" spans="1:7" s="2" customFormat="1" ht="15.6" customHeight="1" x14ac:dyDescent="0.3">
      <c r="A15" s="75"/>
      <c r="B15" s="63"/>
      <c r="C15" s="75"/>
      <c r="D15" s="68"/>
      <c r="E15" s="107" t="s">
        <v>77</v>
      </c>
      <c r="F15" s="46" t="s">
        <v>119</v>
      </c>
      <c r="G15" s="47"/>
    </row>
    <row r="16" spans="1:7" s="2" customFormat="1" ht="19.8" customHeight="1" x14ac:dyDescent="0.3">
      <c r="A16" s="75" t="s">
        <v>72</v>
      </c>
      <c r="B16" s="139" t="s">
        <v>6</v>
      </c>
      <c r="C16" s="145" t="s">
        <v>145</v>
      </c>
      <c r="D16" s="14"/>
      <c r="E16" s="112"/>
      <c r="F16" s="113" t="s">
        <v>92</v>
      </c>
      <c r="G16" s="48"/>
    </row>
    <row r="17" spans="1:7" s="2" customFormat="1" ht="19.8" customHeight="1" x14ac:dyDescent="0.3">
      <c r="A17" s="75" t="str">
        <f>"     WOZ-waarde eigen woning per 1-1-"&amp;B1-2&amp;" (zie aanslag "&amp;B1-"1"&amp;")"</f>
        <v xml:space="preserve">     WOZ-waarde eigen woning per 1-1-2024 (zie aanslag 2025)</v>
      </c>
      <c r="B17" s="32">
        <v>500000</v>
      </c>
      <c r="C17" s="145" t="s">
        <v>142</v>
      </c>
      <c r="D17" s="14"/>
      <c r="E17" s="112"/>
      <c r="F17" s="113" t="s">
        <v>93</v>
      </c>
      <c r="G17" s="48"/>
    </row>
    <row r="18" spans="1:7" s="2" customFormat="1" ht="19.8" customHeight="1" x14ac:dyDescent="0.3">
      <c r="A18" s="75" t="s">
        <v>128</v>
      </c>
      <c r="B18" s="32">
        <v>0</v>
      </c>
      <c r="C18" s="75"/>
      <c r="D18" s="14"/>
      <c r="E18" s="112"/>
      <c r="F18" s="113" t="s">
        <v>138</v>
      </c>
      <c r="G18" s="48"/>
    </row>
    <row r="19" spans="1:7" s="2" customFormat="1" ht="16.8" customHeight="1" x14ac:dyDescent="0.3">
      <c r="A19" s="141" t="s">
        <v>150</v>
      </c>
      <c r="B19" s="143"/>
      <c r="C19" s="75"/>
      <c r="D19" s="14"/>
      <c r="E19" s="112"/>
      <c r="F19" s="113" t="s">
        <v>190</v>
      </c>
      <c r="G19" s="48"/>
    </row>
    <row r="20" spans="1:7" s="2" customFormat="1" ht="20.399999999999999" customHeight="1" x14ac:dyDescent="0.3">
      <c r="A20" s="142" t="s">
        <v>155</v>
      </c>
      <c r="B20" s="140" t="s">
        <v>28</v>
      </c>
      <c r="C20" s="75"/>
      <c r="D20" s="14"/>
      <c r="E20" s="112"/>
      <c r="F20" s="113" t="s">
        <v>139</v>
      </c>
      <c r="G20" s="48"/>
    </row>
    <row r="21" spans="1:7" s="2" customFormat="1" ht="19.8" customHeight="1" x14ac:dyDescent="0.3">
      <c r="A21" s="142" t="s">
        <v>156</v>
      </c>
      <c r="B21" s="152">
        <v>0</v>
      </c>
      <c r="C21" s="145" t="str">
        <f>IF(AND(B20="ja",B21=0),"Vul in percentage ziek"," ")</f>
        <v xml:space="preserve"> </v>
      </c>
      <c r="D21" s="14"/>
      <c r="E21" s="112"/>
      <c r="F21" s="113" t="s">
        <v>140</v>
      </c>
      <c r="G21" s="48"/>
    </row>
    <row r="22" spans="1:7" s="2" customFormat="1" ht="19.2" customHeight="1" x14ac:dyDescent="0.3">
      <c r="A22" s="77" t="s">
        <v>107</v>
      </c>
      <c r="B22" s="74"/>
      <c r="C22" s="75"/>
      <c r="D22" s="14"/>
      <c r="E22" s="112"/>
      <c r="F22" s="113" t="s">
        <v>94</v>
      </c>
      <c r="G22" s="48"/>
    </row>
    <row r="23" spans="1:7" s="2" customFormat="1" ht="20.399999999999999" customHeight="1" x14ac:dyDescent="0.3">
      <c r="A23" s="75" t="s">
        <v>58</v>
      </c>
      <c r="B23" s="32">
        <v>0</v>
      </c>
      <c r="C23" s="50" t="s">
        <v>79</v>
      </c>
      <c r="D23" s="14"/>
      <c r="E23" s="112"/>
      <c r="F23" s="113" t="s">
        <v>136</v>
      </c>
      <c r="G23" s="48"/>
    </row>
    <row r="24" spans="1:7" s="2" customFormat="1" ht="19.8" customHeight="1" x14ac:dyDescent="0.3">
      <c r="A24" s="75" t="s">
        <v>59</v>
      </c>
      <c r="B24" s="32"/>
      <c r="C24" s="50" t="s">
        <v>79</v>
      </c>
      <c r="D24" s="14"/>
      <c r="E24" s="112"/>
      <c r="F24" s="113" t="s">
        <v>187</v>
      </c>
      <c r="G24" s="48"/>
    </row>
    <row r="25" spans="1:7" s="2" customFormat="1" ht="19.8" customHeight="1" x14ac:dyDescent="0.3">
      <c r="A25" s="75" t="s">
        <v>63</v>
      </c>
      <c r="B25" s="124"/>
      <c r="C25" s="123"/>
      <c r="D25" s="14"/>
      <c r="E25" s="107" t="s">
        <v>103</v>
      </c>
      <c r="F25" s="46" t="s">
        <v>151</v>
      </c>
      <c r="G25" s="47"/>
    </row>
    <row r="26" spans="1:7" s="2" customFormat="1" ht="18.600000000000001" customHeight="1" x14ac:dyDescent="0.3">
      <c r="A26" s="75"/>
      <c r="B26" s="82"/>
      <c r="C26" s="75"/>
      <c r="D26" s="14"/>
      <c r="E26" s="112"/>
      <c r="F26" s="2" t="s">
        <v>158</v>
      </c>
      <c r="G26" s="48"/>
    </row>
    <row r="27" spans="1:7" s="2" customFormat="1" ht="21.6" customHeight="1" x14ac:dyDescent="0.3">
      <c r="A27" s="120" t="s">
        <v>110</v>
      </c>
      <c r="B27" s="83"/>
      <c r="C27" s="84"/>
      <c r="D27" s="14"/>
      <c r="E27" s="112"/>
      <c r="F27" s="110" t="s">
        <v>149</v>
      </c>
      <c r="G27" s="111"/>
    </row>
    <row r="28" spans="1:7" s="2" customFormat="1" ht="19.8" customHeight="1" x14ac:dyDescent="0.25">
      <c r="A28" s="2" t="s">
        <v>0</v>
      </c>
      <c r="B28" s="86" t="s">
        <v>85</v>
      </c>
      <c r="C28" s="85" t="s">
        <v>86</v>
      </c>
      <c r="D28" s="16"/>
      <c r="E28" s="107" t="s">
        <v>127</v>
      </c>
      <c r="F28" s="2" t="s">
        <v>147</v>
      </c>
      <c r="G28" s="149"/>
    </row>
    <row r="29" spans="1:7" s="15" customFormat="1" ht="19.8" customHeight="1" x14ac:dyDescent="0.25">
      <c r="A29" s="81" t="s">
        <v>117</v>
      </c>
      <c r="B29" s="89">
        <f ca="1">OFFSET('Traktementstabel 2026'!A5,B7,MATCH(B6,Berekeningen!A43:A44,0))</f>
        <v>5360</v>
      </c>
      <c r="C29" s="81"/>
      <c r="D29" s="13"/>
      <c r="E29" s="112"/>
      <c r="F29" s="110" t="s">
        <v>164</v>
      </c>
      <c r="G29" s="111"/>
    </row>
    <row r="30" spans="1:7" ht="18.600000000000001" customHeight="1" x14ac:dyDescent="0.25">
      <c r="A30" s="88"/>
      <c r="B30" s="88"/>
      <c r="C30" s="79"/>
      <c r="E30" s="119" t="s">
        <v>146</v>
      </c>
      <c r="F30" s="45" t="s">
        <v>65</v>
      </c>
      <c r="G30" s="49">
        <v>3180</v>
      </c>
    </row>
    <row r="31" spans="1:7" ht="19.8" customHeight="1" x14ac:dyDescent="0.25">
      <c r="A31" s="79" t="s">
        <v>141</v>
      </c>
      <c r="B31" s="79">
        <f ca="1">IF(B20="nee",B29*B8,+(B29*(B8*(1-B21)))+(B29*B21*B8*0.8))</f>
        <v>5360</v>
      </c>
      <c r="C31" s="137">
        <f ca="1">B31*12</f>
        <v>64320</v>
      </c>
      <c r="E31" s="119" t="s">
        <v>148</v>
      </c>
      <c r="F31" s="44" t="s">
        <v>64</v>
      </c>
      <c r="G31" s="51"/>
    </row>
    <row r="32" spans="1:7" ht="19.8" customHeight="1" x14ac:dyDescent="0.25">
      <c r="A32" s="79" t="s">
        <v>130</v>
      </c>
      <c r="B32" s="79">
        <f>IF(B20="nee",B10,(B10*0.8)+(((B10*0.2)*(1-B21))))</f>
        <v>0</v>
      </c>
      <c r="C32" s="79">
        <f>B32*12</f>
        <v>0</v>
      </c>
    </row>
    <row r="33" spans="1:4" ht="19.8" customHeight="1" x14ac:dyDescent="0.25">
      <c r="A33" s="79" t="s">
        <v>60</v>
      </c>
      <c r="B33" s="79">
        <f>IF(B20="nee",B11,(B11*0.8)+(((B11*0.2)*(1-B21))))</f>
        <v>0</v>
      </c>
      <c r="C33" s="79">
        <f>B33*12</f>
        <v>0</v>
      </c>
    </row>
    <row r="34" spans="1:4" ht="19.8" customHeight="1" x14ac:dyDescent="0.25">
      <c r="A34" s="79" t="s">
        <v>88</v>
      </c>
      <c r="B34" s="79">
        <f ca="1">C34/12</f>
        <v>-448.77</v>
      </c>
      <c r="C34" s="79">
        <f ca="1">-Berekeningen!D30</f>
        <v>-5385.24</v>
      </c>
    </row>
    <row r="35" spans="1:4" ht="19.8" customHeight="1" x14ac:dyDescent="0.25">
      <c r="A35" s="90" t="s">
        <v>89</v>
      </c>
      <c r="B35" s="90">
        <f ca="1">C35/12</f>
        <v>-694.66</v>
      </c>
      <c r="C35" s="79">
        <f ca="1">-IF(B13="ja",0.12*(Berekeningen!D10),0)</f>
        <v>-8335.8700000000008</v>
      </c>
    </row>
    <row r="36" spans="1:4" ht="19.8" customHeight="1" x14ac:dyDescent="0.25">
      <c r="A36" s="87" t="s">
        <v>108</v>
      </c>
      <c r="B36" s="87">
        <f ca="1">C36/12</f>
        <v>4216.57</v>
      </c>
      <c r="C36" s="87">
        <f ca="1">SUM(C31:C35)</f>
        <v>50598.89</v>
      </c>
    </row>
    <row r="37" spans="1:4" ht="19.8" customHeight="1" x14ac:dyDescent="0.25">
      <c r="A37" s="92" t="s">
        <v>7</v>
      </c>
      <c r="B37" s="92">
        <f ca="1">C37/12</f>
        <v>325.74</v>
      </c>
      <c r="C37" s="79">
        <f ca="1">Berekeningen!D37</f>
        <v>3908.9</v>
      </c>
    </row>
    <row r="38" spans="1:4" ht="19.8" customHeight="1" x14ac:dyDescent="0.25">
      <c r="A38" s="79" t="s">
        <v>179</v>
      </c>
      <c r="B38" s="79">
        <f t="shared" ref="B38:B40" si="0">C38/12</f>
        <v>265</v>
      </c>
      <c r="C38" s="79">
        <f>IF(B20="nee",('Rekenmodel 2026'!G30*0.5)+('Rekenmodel 2026'!G30*0.5*'Rekenmodel 2026'!B8),('Rekenmodel 2026'!G30*0.5)+('Rekenmodel 2026'!G30*0.5*(1-B21)*'Rekenmodel 2026'!B8))</f>
        <v>3180</v>
      </c>
    </row>
    <row r="39" spans="1:4" ht="19.8" customHeight="1" x14ac:dyDescent="0.25">
      <c r="A39" s="79" t="s">
        <v>157</v>
      </c>
      <c r="B39" s="79">
        <f t="shared" si="0"/>
        <v>0</v>
      </c>
      <c r="C39" s="79">
        <f>Berekeningen!D41</f>
        <v>0</v>
      </c>
    </row>
    <row r="40" spans="1:4" ht="19.8" customHeight="1" x14ac:dyDescent="0.25">
      <c r="A40" s="88" t="s">
        <v>62</v>
      </c>
      <c r="B40" s="88">
        <f t="shared" si="0"/>
        <v>0</v>
      </c>
      <c r="C40" s="79">
        <f>IF(B13="nee",B18,0)</f>
        <v>0</v>
      </c>
    </row>
    <row r="41" spans="1:4" ht="19.8" customHeight="1" thickBot="1" x14ac:dyDescent="0.3">
      <c r="A41" s="94" t="s">
        <v>109</v>
      </c>
      <c r="B41" s="95">
        <f ca="1">SUM(B36:B40)</f>
        <v>4807.3100000000004</v>
      </c>
      <c r="C41" s="96">
        <f ca="1">SUM(C36:C40)</f>
        <v>57687.79</v>
      </c>
    </row>
    <row r="42" spans="1:4" ht="19.8" customHeight="1" thickTop="1" x14ac:dyDescent="0.25">
      <c r="A42" s="79" t="s">
        <v>125</v>
      </c>
      <c r="B42" s="79">
        <f t="shared" ref="B42:B43" si="1">C42/12</f>
        <v>0</v>
      </c>
      <c r="C42" s="79">
        <f>0.35*B23</f>
        <v>0</v>
      </c>
    </row>
    <row r="43" spans="1:4" ht="19.8" customHeight="1" x14ac:dyDescent="0.25">
      <c r="A43" s="79" t="s">
        <v>126</v>
      </c>
      <c r="B43" s="79">
        <f t="shared" si="1"/>
        <v>0</v>
      </c>
      <c r="C43" s="79">
        <f>0.19*B24</f>
        <v>0</v>
      </c>
    </row>
    <row r="44" spans="1:4" ht="19.8" customHeight="1" x14ac:dyDescent="0.25">
      <c r="A44" s="81" t="s">
        <v>112</v>
      </c>
      <c r="B44" s="136">
        <f ca="1">SUM(B41:B43)</f>
        <v>4807.3100000000004</v>
      </c>
      <c r="C44" s="136">
        <f ca="1">SUM(C41:C43)</f>
        <v>57687.79</v>
      </c>
    </row>
    <row r="45" spans="1:4" ht="31.8" customHeight="1" x14ac:dyDescent="0.25">
      <c r="A45" s="93" t="s">
        <v>100</v>
      </c>
      <c r="B45" s="79"/>
      <c r="C45" s="81">
        <f ca="1">8%*(C31+C32)</f>
        <v>5145.6000000000004</v>
      </c>
    </row>
    <row r="46" spans="1:4" ht="19.8" customHeight="1" x14ac:dyDescent="0.25">
      <c r="A46" s="97" t="s">
        <v>101</v>
      </c>
      <c r="B46" s="98"/>
      <c r="C46" s="91">
        <f ca="1">SUM(C44:C45)</f>
        <v>62833.39</v>
      </c>
    </row>
    <row r="47" spans="1:4" ht="19.8" customHeight="1" x14ac:dyDescent="0.25">
      <c r="D47" s="34"/>
    </row>
    <row r="48" spans="1:4" ht="25.8" customHeight="1" x14ac:dyDescent="0.25">
      <c r="A48" s="100" t="s">
        <v>111</v>
      </c>
      <c r="B48" s="78"/>
      <c r="C48" s="131" t="s">
        <v>86</v>
      </c>
      <c r="D48" s="34"/>
    </row>
    <row r="49" spans="1:4" ht="19.8" customHeight="1" x14ac:dyDescent="0.25">
      <c r="A49" s="104" t="s">
        <v>113</v>
      </c>
      <c r="B49" s="105"/>
      <c r="C49" s="106"/>
      <c r="D49" s="34"/>
    </row>
    <row r="50" spans="1:4" ht="19.8" customHeight="1" x14ac:dyDescent="0.25">
      <c r="A50" s="79" t="s">
        <v>8</v>
      </c>
      <c r="B50" s="79"/>
      <c r="C50" s="126">
        <f ca="1">C46</f>
        <v>62833</v>
      </c>
      <c r="D50" s="31"/>
    </row>
    <row r="51" spans="1:4" ht="19.8" customHeight="1" x14ac:dyDescent="0.25">
      <c r="A51" s="79" t="s">
        <v>49</v>
      </c>
      <c r="B51" s="79"/>
      <c r="C51" s="126">
        <f ca="1">-C34/0.4</f>
        <v>13463</v>
      </c>
      <c r="D51" s="31"/>
    </row>
    <row r="52" spans="1:4" ht="19.8" customHeight="1" x14ac:dyDescent="0.25">
      <c r="A52" s="79" t="s">
        <v>189</v>
      </c>
      <c r="B52" s="79"/>
      <c r="C52" s="126">
        <v>3050</v>
      </c>
      <c r="D52" s="31"/>
    </row>
    <row r="53" spans="1:4" ht="19.8" customHeight="1" x14ac:dyDescent="0.25">
      <c r="A53" s="81" t="s">
        <v>122</v>
      </c>
      <c r="B53" s="79"/>
      <c r="C53" s="127">
        <f ca="1">SUM(C50:C52)</f>
        <v>79346</v>
      </c>
      <c r="D53" s="31"/>
    </row>
    <row r="54" spans="1:4" ht="12" customHeight="1" x14ac:dyDescent="0.25">
      <c r="B54" s="99"/>
      <c r="C54" s="128"/>
    </row>
    <row r="55" spans="1:4" ht="22.2" customHeight="1" x14ac:dyDescent="0.25">
      <c r="A55" s="104" t="s">
        <v>114</v>
      </c>
      <c r="B55" s="105"/>
      <c r="C55" s="129"/>
    </row>
    <row r="56" spans="1:4" ht="19.8" customHeight="1" x14ac:dyDescent="0.25">
      <c r="A56" s="79" t="s">
        <v>8</v>
      </c>
      <c r="B56" s="79"/>
      <c r="C56" s="126">
        <f ca="1">C46</f>
        <v>62833</v>
      </c>
    </row>
    <row r="57" spans="1:4" ht="19.8" customHeight="1" x14ac:dyDescent="0.25">
      <c r="A57" s="79" t="s">
        <v>95</v>
      </c>
      <c r="B57" s="79"/>
      <c r="C57" s="130" t="s">
        <v>96</v>
      </c>
    </row>
    <row r="58" spans="1:4" ht="19.8" customHeight="1" x14ac:dyDescent="0.25">
      <c r="A58" s="79" t="s">
        <v>189</v>
      </c>
      <c r="B58" s="79"/>
      <c r="C58" s="126">
        <v>3050</v>
      </c>
    </row>
    <row r="59" spans="1:4" ht="19.8" customHeight="1" x14ac:dyDescent="0.25">
      <c r="A59" s="81" t="s">
        <v>122</v>
      </c>
      <c r="B59" s="81"/>
      <c r="C59" s="127">
        <f ca="1">SUM(C56:C58)</f>
        <v>65883</v>
      </c>
    </row>
    <row r="60" spans="1:4" ht="21" customHeight="1" x14ac:dyDescent="0.25">
      <c r="A60" s="157" t="s">
        <v>124</v>
      </c>
      <c r="B60" s="158"/>
      <c r="C60" s="115"/>
      <c r="D60" s="41"/>
    </row>
    <row r="61" spans="1:4" ht="59.4" customHeight="1" x14ac:dyDescent="0.25">
      <c r="A61" s="116" t="s">
        <v>121</v>
      </c>
      <c r="B61" s="117" t="s">
        <v>85</v>
      </c>
      <c r="C61" s="118" t="s">
        <v>86</v>
      </c>
      <c r="D61" s="41"/>
    </row>
    <row r="62" spans="1:4" ht="20.399999999999999" customHeight="1" x14ac:dyDescent="0.25">
      <c r="A62" s="79" t="s">
        <v>82</v>
      </c>
      <c r="B62" s="79">
        <f ca="1">C62/12</f>
        <v>5788.8</v>
      </c>
      <c r="C62" s="79">
        <f ca="1">(C31*1.08)/B8</f>
        <v>69465.600000000006</v>
      </c>
      <c r="D62" s="114" t="s">
        <v>186</v>
      </c>
    </row>
    <row r="63" spans="1:4" ht="20.399999999999999" customHeight="1" x14ac:dyDescent="0.25">
      <c r="A63" s="135" t="s">
        <v>132</v>
      </c>
      <c r="B63" s="79">
        <f>C63/12</f>
        <v>0</v>
      </c>
      <c r="C63" s="79">
        <f>Berekeningen!D21/'Rekenmodel 2026'!$B$8</f>
        <v>0</v>
      </c>
      <c r="D63" s="114" t="s">
        <v>182</v>
      </c>
    </row>
    <row r="64" spans="1:4" ht="20.399999999999999" customHeight="1" x14ac:dyDescent="0.25">
      <c r="A64" s="79" t="s">
        <v>80</v>
      </c>
      <c r="B64" s="79">
        <f>C64/12</f>
        <v>0</v>
      </c>
      <c r="C64" s="79">
        <f>Berekeningen!D22/'Rekenmodel 2026'!$B$8</f>
        <v>0</v>
      </c>
      <c r="D64" s="114" t="s">
        <v>183</v>
      </c>
    </row>
    <row r="65" spans="1:4" ht="20.399999999999999" customHeight="1" x14ac:dyDescent="0.25">
      <c r="A65" s="79" t="s">
        <v>81</v>
      </c>
      <c r="B65" s="79">
        <f ca="1">C65/12</f>
        <v>0</v>
      </c>
      <c r="C65" s="79">
        <f ca="1">Berekeningen!D23</f>
        <v>0</v>
      </c>
      <c r="D65" s="114" t="s">
        <v>184</v>
      </c>
    </row>
    <row r="66" spans="1:4" ht="20.399999999999999" customHeight="1" x14ac:dyDescent="0.25">
      <c r="A66" s="135" t="s">
        <v>123</v>
      </c>
      <c r="B66" s="79">
        <f>C66/12</f>
        <v>0</v>
      </c>
      <c r="C66" s="79">
        <f>Berekeningen!D24/'Rekenmodel 2026'!$B$8</f>
        <v>0</v>
      </c>
      <c r="D66" s="114" t="s">
        <v>185</v>
      </c>
    </row>
    <row r="67" spans="1:4" ht="20.399999999999999" customHeight="1" x14ac:dyDescent="0.25">
      <c r="A67" s="81" t="s">
        <v>48</v>
      </c>
      <c r="B67" s="81">
        <f ca="1">SUM(B62:B66)</f>
        <v>5788.8</v>
      </c>
      <c r="C67" s="81">
        <f ca="1">ROUNDUP(SUM(C62:C66),0)</f>
        <v>69466</v>
      </c>
      <c r="D67" s="34"/>
    </row>
    <row r="68" spans="1:4" ht="20.399999999999999" customHeight="1" x14ac:dyDescent="0.25">
      <c r="A68" s="79" t="s">
        <v>5</v>
      </c>
      <c r="B68" s="132">
        <f>'Rekenmodel 2026'!B8</f>
        <v>1</v>
      </c>
      <c r="C68" s="79"/>
      <c r="D68" s="34"/>
    </row>
    <row r="69" spans="1:4" ht="20.399999999999999" customHeight="1" x14ac:dyDescent="0.25">
      <c r="A69" s="79" t="s">
        <v>9</v>
      </c>
      <c r="B69" s="79">
        <v>40</v>
      </c>
      <c r="C69" s="79"/>
      <c r="D69" s="34"/>
    </row>
    <row r="70" spans="1:4" ht="20.399999999999999" customHeight="1" x14ac:dyDescent="0.25">
      <c r="A70" s="79" t="s">
        <v>10</v>
      </c>
      <c r="B70" s="79">
        <f>B69*'Rekenmodel 2026'!B8</f>
        <v>40</v>
      </c>
      <c r="C70" s="79"/>
      <c r="D70" s="34"/>
    </row>
    <row r="71" spans="1:4" ht="20.399999999999999" customHeight="1" x14ac:dyDescent="0.25">
      <c r="A71" s="79" t="s">
        <v>11</v>
      </c>
      <c r="B71" s="79">
        <f>B70*52/12</f>
        <v>173.33</v>
      </c>
      <c r="C71" s="79"/>
      <c r="D71" s="34"/>
    </row>
    <row r="73" spans="1:4" x14ac:dyDescent="0.25">
      <c r="A73" s="151" t="s">
        <v>195</v>
      </c>
    </row>
  </sheetData>
  <sheetProtection algorithmName="SHA-512" hashValue="6hQScFVGPPaynxC5tYTIGERFtPBH0Vkv+utyKSBXjhnmKxHXWJ7BQNm98zhe+AITHQc6yft+K6kWP++/luw+NA==" saltValue="rNgODIlVphm/4mQPgOWGqQ==" spinCount="100000" sheet="1" objects="1" scenarios="1"/>
  <dataConsolidate/>
  <mergeCells count="2">
    <mergeCell ref="A2:B2"/>
    <mergeCell ref="A60:B60"/>
  </mergeCells>
  <phoneticPr fontId="0" type="noConversion"/>
  <conditionalFormatting sqref="B14">
    <cfRule type="expression" dxfId="9" priority="2">
      <formula>(B13="nee")</formula>
    </cfRule>
  </conditionalFormatting>
  <conditionalFormatting sqref="B16">
    <cfRule type="expression" dxfId="8" priority="5">
      <formula>(B13="ja")</formula>
    </cfRule>
  </conditionalFormatting>
  <conditionalFormatting sqref="B17">
    <cfRule type="expression" dxfId="7" priority="6">
      <formula>(B13="ja")</formula>
    </cfRule>
    <cfRule type="expression" dxfId="6" priority="10">
      <formula>B16="nee"</formula>
    </cfRule>
    <cfRule type="expression" dxfId="5" priority="11">
      <formula>B16="nee"</formula>
    </cfRule>
  </conditionalFormatting>
  <conditionalFormatting sqref="B18">
    <cfRule type="expression" dxfId="4" priority="9">
      <formula>(B13="ja")</formula>
    </cfRule>
  </conditionalFormatting>
  <conditionalFormatting sqref="C14">
    <cfRule type="expression" dxfId="3" priority="1">
      <formula>(B13="nee")</formula>
    </cfRule>
  </conditionalFormatting>
  <conditionalFormatting sqref="C16">
    <cfRule type="expression" dxfId="2" priority="3">
      <formula>(B13="ja")</formula>
    </cfRule>
  </conditionalFormatting>
  <conditionalFormatting sqref="C17">
    <cfRule type="expression" dxfId="1" priority="16">
      <formula>B16="nee"</formula>
    </cfRule>
  </conditionalFormatting>
  <conditionalFormatting sqref="C21">
    <cfRule type="expression" dxfId="0" priority="17">
      <formula>B20="ja"</formula>
    </cfRule>
  </conditionalFormatting>
  <dataValidations count="6">
    <dataValidation type="whole" operator="greaterThanOrEqual" showInputMessage="1" showErrorMessage="1" sqref="B22:B24 B12 B9" xr:uid="{00000000-0002-0000-0000-000000000000}">
      <formula1>0</formula1>
    </dataValidation>
    <dataValidation type="whole" operator="greaterThanOrEqual" allowBlank="1" showInputMessage="1" showErrorMessage="1" sqref="C38:C40" xr:uid="{00000000-0002-0000-0000-000002000000}">
      <formula1>0</formula1>
    </dataValidation>
    <dataValidation type="decimal" allowBlank="1" showInputMessage="1" showErrorMessage="1" error="deeltijd tussen 10% en 110%" sqref="B22 C38:C40 B12 B19 B8:B9" xr:uid="{00000000-0002-0000-0000-000003000000}">
      <formula1>0.1</formula1>
      <formula2>1</formula2>
    </dataValidation>
    <dataValidation type="decimal" allowBlank="1" showInputMessage="1" showErrorMessage="1" error="percent. ziek tussen 5% en 100%" sqref="B21" xr:uid="{4ECCA60B-E98B-4C8C-96F5-96F73945CA4A}">
      <formula1>0</formula1>
      <formula2>1</formula2>
    </dataValidation>
    <dataValidation operator="greaterThanOrEqual" showInputMessage="1" showErrorMessage="1" sqref="B10" xr:uid="{67607FB2-167E-4D4E-ACDD-19748FDC7AFD}"/>
    <dataValidation allowBlank="1" showInputMessage="1" showErrorMessage="1" error="deeltijd tussen 10% en 110%" sqref="B10" xr:uid="{A4C106DA-BA4F-4BA6-9673-FD4C6BD953DE}"/>
  </dataValidations>
  <pageMargins left="0.55118110236220474" right="0.11811023622047245" top="0.59055118110236227" bottom="0.39370078740157483" header="0.51181102362204722" footer="0.27559055118110237"/>
  <pageSetup paperSize="9" scale="75" orientation="portrait" r:id="rId1"/>
  <headerFooter alignWithMargins="0">
    <oddFooter xml:space="preserve">&amp;R
</oddFooter>
  </headerFooter>
  <rowBreaks count="1" manualBreakCount="1">
    <brk id="59" max="16383" man="1"/>
  </rowBreak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Maak een keuze" error="Kies ja of nee." xr:uid="{00000000-0002-0000-0000-000001000000}">
          <x14:formula1>
            <xm:f>Berekeningen!$A$46:$A$47</xm:f>
          </x14:formula1>
          <xm:sqref>B13</xm:sqref>
        </x14:dataValidation>
        <x14:dataValidation type="list" allowBlank="1" showInputMessage="1" showErrorMessage="1" xr:uid="{0C1C98C9-DA67-457F-B726-F755311E4C66}">
          <x14:formula1>
            <xm:f>Berekeningen!$A$46:$A$47</xm:f>
          </x14:formula1>
          <xm:sqref>B16</xm:sqref>
        </x14:dataValidation>
        <x14:dataValidation type="list" allowBlank="1" showInputMessage="1" showErrorMessage="1" error="deeltijd tussen 10% en 110%" xr:uid="{85EF98B5-2C85-4092-B4F1-C9CAA6430D42}">
          <x14:formula1>
            <xm:f>Berekeningen!#REF!</xm:f>
          </x14:formula1>
          <xm:sqref>B13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Berekeningen!$A$43:$A$44</xm:f>
          </x14:formula1>
          <xm:sqref>B6</xm:sqref>
        </x14:dataValidation>
        <x14:dataValidation type="list" allowBlank="1" showInputMessage="1" showErrorMessage="1" xr:uid="{00000000-0002-0000-0000-000004000000}">
          <x14:formula1>
            <xm:f>'Traktementstabel 2026'!$A$5:$A$31</xm:f>
          </x14:formula1>
          <xm:sqref>B7</xm:sqref>
        </x14:dataValidation>
        <x14:dataValidation type="list" allowBlank="1" showInputMessage="1" showErrorMessage="1" error="deeltijd tussen 10% en 110%" xr:uid="{377D234E-50C4-4A34-A626-14D597550FE0}">
          <x14:formula1>
            <xm:f>Berekeningen!$A$46:$A$47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D9" sqref="D9"/>
    </sheetView>
  </sheetViews>
  <sheetFormatPr defaultColWidth="12.69921875" defaultRowHeight="12" x14ac:dyDescent="0.25"/>
  <cols>
    <col min="1" max="1" width="6.19921875" style="4" customWidth="1"/>
    <col min="2" max="2" width="54.19921875" style="4" customWidth="1"/>
    <col min="3" max="3" width="13.8984375" style="4" customWidth="1"/>
    <col min="4" max="4" width="13.59765625" style="4" customWidth="1"/>
    <col min="5" max="5" width="9.796875" style="4" customWidth="1"/>
    <col min="6" max="6" width="47.69921875" style="4" customWidth="1"/>
    <col min="7" max="16384" width="12.69921875" style="4"/>
  </cols>
  <sheetData>
    <row r="1" spans="1:7" ht="13.8" customHeight="1" x14ac:dyDescent="0.25">
      <c r="A1" s="159" t="s">
        <v>137</v>
      </c>
      <c r="B1" s="159"/>
      <c r="C1" s="159"/>
      <c r="D1" s="159"/>
      <c r="E1" s="121" t="s">
        <v>46</v>
      </c>
      <c r="F1" s="122" t="s">
        <v>57</v>
      </c>
    </row>
    <row r="2" spans="1:7" ht="13.8" customHeight="1" x14ac:dyDescent="0.25">
      <c r="A2" s="23"/>
      <c r="B2" s="24" t="s">
        <v>91</v>
      </c>
      <c r="C2" s="24"/>
      <c r="D2" s="25"/>
      <c r="E2" s="18"/>
      <c r="F2" s="18"/>
    </row>
    <row r="3" spans="1:7" s="5" customFormat="1" ht="13.8" customHeight="1" x14ac:dyDescent="0.3">
      <c r="A3" s="17" t="s">
        <v>13</v>
      </c>
      <c r="B3" s="18" t="s">
        <v>61</v>
      </c>
      <c r="C3" s="18"/>
      <c r="D3" s="18">
        <f ca="1">'Rekenmodel 2026'!C31</f>
        <v>64320</v>
      </c>
      <c r="E3" s="18"/>
      <c r="F3" s="18"/>
    </row>
    <row r="4" spans="1:7" s="5" customFormat="1" ht="13.2" x14ac:dyDescent="0.3">
      <c r="A4" s="17" t="s">
        <v>14</v>
      </c>
      <c r="B4" s="18" t="s">
        <v>15</v>
      </c>
      <c r="C4" s="18"/>
      <c r="D4" s="18">
        <f ca="1">D3*8%</f>
        <v>5145.6000000000004</v>
      </c>
      <c r="E4" s="65">
        <v>0.08</v>
      </c>
      <c r="F4" s="18"/>
    </row>
    <row r="5" spans="1:7" s="5" customFormat="1" ht="13.8" thickBot="1" x14ac:dyDescent="0.35">
      <c r="A5" s="19" t="s">
        <v>16</v>
      </c>
      <c r="B5" s="26" t="s">
        <v>83</v>
      </c>
      <c r="C5" s="26"/>
      <c r="D5" s="27">
        <f ca="1">D3+D4</f>
        <v>69465.600000000006</v>
      </c>
      <c r="E5" s="18"/>
      <c r="F5" s="18"/>
    </row>
    <row r="6" spans="1:7" s="5" customFormat="1" ht="13.2" x14ac:dyDescent="0.3">
      <c r="A6" s="17"/>
      <c r="B6" s="18"/>
      <c r="C6" s="18"/>
      <c r="D6" s="18"/>
      <c r="E6" s="18"/>
      <c r="F6" s="18"/>
    </row>
    <row r="7" spans="1:7" s="5" customFormat="1" ht="13.2" x14ac:dyDescent="0.3">
      <c r="A7" s="23"/>
      <c r="B7" s="24" t="s">
        <v>159</v>
      </c>
      <c r="C7" s="24"/>
      <c r="D7" s="25"/>
      <c r="E7" s="18"/>
      <c r="F7" s="18"/>
    </row>
    <row r="8" spans="1:7" s="5" customFormat="1" ht="13.2" x14ac:dyDescent="0.3">
      <c r="A8" s="21" t="s">
        <v>17</v>
      </c>
      <c r="B8" s="18" t="s">
        <v>181</v>
      </c>
      <c r="C8" s="18"/>
      <c r="D8" s="18">
        <f ca="1">(12.96*('Rekenmodel 2026'!B29+'Rekenmodel 2026'!B10))+(12*'Rekenmodel 2026'!B11)</f>
        <v>69465.600000000006</v>
      </c>
      <c r="E8" s="18"/>
      <c r="F8" s="30" t="s">
        <v>162</v>
      </c>
      <c r="G8" s="154">
        <f>(1-'Rekenmodel 2026'!B21)</f>
        <v>1</v>
      </c>
    </row>
    <row r="9" spans="1:7" s="5" customFormat="1" ht="13.2" x14ac:dyDescent="0.3">
      <c r="A9" s="21" t="s">
        <v>18</v>
      </c>
      <c r="B9" s="18" t="s">
        <v>194</v>
      </c>
      <c r="C9" s="18"/>
      <c r="D9" s="18">
        <f ca="1">(((12.96*(0.8*('Rekenmodel 2026'!B29+'Rekenmodel 2026'!B10)))+(12*0.8*('Rekenmodel 2026'!B11)))*'Rekenmodel 2026'!B21)+((12.96*('Rekenmodel 2026'!B29+'Rekenmodel 2026'!B10))+(12*'Rekenmodel 2026'!B11))*(1-'Rekenmodel 2026'!B21)</f>
        <v>69465.600000000006</v>
      </c>
      <c r="E9" s="18"/>
      <c r="F9" s="30" t="s">
        <v>163</v>
      </c>
      <c r="G9" s="5">
        <f ca="1">+((12.96*('Rekenmodel 2026'!B29+'Rekenmodel 2026'!B10))+(12*'Rekenmodel 2026'!B11))*(1-'Rekenmodel 2026'!B21)</f>
        <v>69465.600000000006</v>
      </c>
    </row>
    <row r="10" spans="1:7" s="5" customFormat="1" ht="13.8" thickBot="1" x14ac:dyDescent="0.35">
      <c r="A10" s="19" t="s">
        <v>19</v>
      </c>
      <c r="B10" s="26" t="s">
        <v>177</v>
      </c>
      <c r="C10" s="26"/>
      <c r="D10" s="27">
        <f ca="1">IF('Rekenmodel 2026'!B20="nee",D8,D9)</f>
        <v>69465.600000000006</v>
      </c>
      <c r="E10" s="65">
        <v>0.12</v>
      </c>
      <c r="F10" s="18"/>
      <c r="G10" s="5">
        <f>+((12.96*('Rekenmodel 2026'!B30+'Rekenmodel 2026'!B11))+(12*'Rekenmodel 2026'!B12))*(1-'Rekenmodel 2026'!B12)</f>
        <v>0</v>
      </c>
    </row>
    <row r="11" spans="1:7" s="5" customFormat="1" ht="13.2" x14ac:dyDescent="0.3">
      <c r="A11" s="17"/>
      <c r="B11" s="18"/>
      <c r="C11" s="18"/>
      <c r="D11" s="18"/>
      <c r="E11" s="18"/>
      <c r="F11" s="18"/>
    </row>
    <row r="12" spans="1:7" s="5" customFormat="1" ht="13.2" x14ac:dyDescent="0.3">
      <c r="A12" s="23"/>
      <c r="B12" s="24" t="s">
        <v>161</v>
      </c>
      <c r="C12" s="24"/>
      <c r="D12" s="25"/>
      <c r="E12" s="18"/>
      <c r="F12" s="30"/>
    </row>
    <row r="13" spans="1:7" s="5" customFormat="1" ht="13.2" x14ac:dyDescent="0.3">
      <c r="A13" s="21" t="s">
        <v>20</v>
      </c>
      <c r="B13" s="18" t="s">
        <v>178</v>
      </c>
      <c r="C13" s="18"/>
      <c r="D13" s="18">
        <f ca="1">-'Rekenmodel 2026'!C35</f>
        <v>8335.8700000000008</v>
      </c>
      <c r="E13" s="18"/>
      <c r="F13" s="30" t="s">
        <v>160</v>
      </c>
    </row>
    <row r="14" spans="1:7" s="5" customFormat="1" ht="13.2" x14ac:dyDescent="0.3">
      <c r="A14" s="21" t="s">
        <v>21</v>
      </c>
      <c r="B14" s="18" t="s">
        <v>39</v>
      </c>
      <c r="C14" s="18"/>
      <c r="D14" s="18">
        <f>IF('Rekenmodel 2026'!B13="nee",0,E14*'Rekenmodel 2026'!B14)</f>
        <v>6000</v>
      </c>
      <c r="E14" s="65">
        <v>1.2E-2</v>
      </c>
      <c r="F14" s="30" t="s">
        <v>99</v>
      </c>
    </row>
    <row r="15" spans="1:7" s="5" customFormat="1" ht="13.8" thickBot="1" x14ac:dyDescent="0.35">
      <c r="A15" s="19" t="s">
        <v>22</v>
      </c>
      <c r="B15" s="26" t="s">
        <v>36</v>
      </c>
      <c r="C15" s="26"/>
      <c r="D15" s="27">
        <f ca="1">IF(D14-D13&gt;0,D14-D13,0)</f>
        <v>0</v>
      </c>
      <c r="E15" s="18"/>
      <c r="F15" s="30" t="s">
        <v>98</v>
      </c>
    </row>
    <row r="16" spans="1:7" s="5" customFormat="1" ht="13.8" thickBot="1" x14ac:dyDescent="0.35">
      <c r="A16" s="21"/>
      <c r="B16" s="146" t="s">
        <v>90</v>
      </c>
      <c r="C16" s="146"/>
      <c r="D16" s="35"/>
      <c r="E16" s="18"/>
      <c r="F16" s="18"/>
    </row>
    <row r="17" spans="1:6" s="5" customFormat="1" ht="13.8" thickBot="1" x14ac:dyDescent="0.35">
      <c r="A17" s="21"/>
      <c r="B17" s="147" t="s">
        <v>87</v>
      </c>
      <c r="C17" s="148"/>
      <c r="D17" s="36"/>
      <c r="E17" s="18"/>
      <c r="F17" s="18"/>
    </row>
    <row r="18" spans="1:6" s="5" customFormat="1" ht="13.2" x14ac:dyDescent="0.3">
      <c r="A18" s="21"/>
      <c r="B18" s="18"/>
      <c r="C18" s="18"/>
      <c r="D18" s="18"/>
      <c r="E18" s="18"/>
      <c r="F18" s="18"/>
    </row>
    <row r="19" spans="1:6" s="5" customFormat="1" ht="13.2" x14ac:dyDescent="0.3">
      <c r="A19" s="23"/>
      <c r="B19" s="24" t="s">
        <v>70</v>
      </c>
      <c r="C19" s="24"/>
      <c r="D19" s="25"/>
      <c r="E19" s="18"/>
      <c r="F19" s="18"/>
    </row>
    <row r="20" spans="1:6" s="5" customFormat="1" ht="13.2" x14ac:dyDescent="0.3">
      <c r="A20" s="17" t="s">
        <v>23</v>
      </c>
      <c r="B20" s="18" t="s">
        <v>37</v>
      </c>
      <c r="C20" s="18"/>
      <c r="D20" s="18">
        <f ca="1">D5</f>
        <v>69465.600000000006</v>
      </c>
      <c r="E20" s="18"/>
      <c r="F20" s="18"/>
    </row>
    <row r="21" spans="1:6" s="5" customFormat="1" ht="13.2" x14ac:dyDescent="0.3">
      <c r="A21" s="17" t="s">
        <v>40</v>
      </c>
      <c r="B21" s="18" t="s">
        <v>130</v>
      </c>
      <c r="C21" s="18"/>
      <c r="D21" s="18">
        <f>'Rekenmodel 2026'!B32*12*1.08</f>
        <v>0</v>
      </c>
      <c r="E21" s="18"/>
      <c r="F21" s="18"/>
    </row>
    <row r="22" spans="1:6" s="5" customFormat="1" ht="13.2" x14ac:dyDescent="0.3">
      <c r="A22" s="17" t="s">
        <v>24</v>
      </c>
      <c r="B22" s="18" t="s">
        <v>60</v>
      </c>
      <c r="C22" s="18"/>
      <c r="D22" s="18">
        <f>'Rekenmodel 2026'!B33*12</f>
        <v>0</v>
      </c>
      <c r="E22" s="18"/>
      <c r="F22" s="18"/>
    </row>
    <row r="23" spans="1:6" s="5" customFormat="1" ht="13.2" x14ac:dyDescent="0.3">
      <c r="A23" s="17" t="s">
        <v>25</v>
      </c>
      <c r="B23" s="18" t="s">
        <v>171</v>
      </c>
      <c r="C23" s="18"/>
      <c r="D23" s="18">
        <f ca="1">D15</f>
        <v>0</v>
      </c>
      <c r="E23" s="18"/>
      <c r="F23" s="30" t="s">
        <v>84</v>
      </c>
    </row>
    <row r="24" spans="1:6" s="5" customFormat="1" ht="13.2" x14ac:dyDescent="0.3">
      <c r="A24" s="17" t="s">
        <v>26</v>
      </c>
      <c r="B24" s="18" t="s">
        <v>69</v>
      </c>
      <c r="C24" s="18"/>
      <c r="D24" s="18">
        <f>IF('Rekenmodel 2026'!B13="nee",'Rekenmodel 2026'!B18,0)</f>
        <v>0</v>
      </c>
      <c r="E24" s="18"/>
      <c r="F24" s="30" t="s">
        <v>84</v>
      </c>
    </row>
    <row r="25" spans="1:6" s="5" customFormat="1" ht="13.2" x14ac:dyDescent="0.3">
      <c r="A25" s="17" t="s">
        <v>41</v>
      </c>
      <c r="B25" s="18" t="s">
        <v>38</v>
      </c>
      <c r="C25" s="18"/>
      <c r="D25" s="20">
        <f ca="1">D20+D21+D22+D23+D24</f>
        <v>69465.600000000006</v>
      </c>
      <c r="E25" s="18"/>
      <c r="F25" s="18"/>
    </row>
    <row r="26" spans="1:6" s="5" customFormat="1" ht="13.2" x14ac:dyDescent="0.3">
      <c r="A26" s="17" t="s">
        <v>42</v>
      </c>
      <c r="B26" s="18" t="s">
        <v>172</v>
      </c>
      <c r="C26" s="18"/>
      <c r="D26" s="18">
        <f>-C28</f>
        <v>-17283</v>
      </c>
      <c r="E26" s="18"/>
      <c r="F26" s="18"/>
    </row>
    <row r="27" spans="1:6" s="5" customFormat="1" ht="13.2" x14ac:dyDescent="0.3">
      <c r="A27" s="17" t="s">
        <v>43</v>
      </c>
      <c r="B27" s="18" t="s">
        <v>55</v>
      </c>
      <c r="C27" s="138">
        <v>17283</v>
      </c>
      <c r="D27" s="18"/>
      <c r="E27" s="18"/>
      <c r="F27" s="18" t="s">
        <v>47</v>
      </c>
    </row>
    <row r="28" spans="1:6" s="5" customFormat="1" ht="13.2" x14ac:dyDescent="0.3">
      <c r="A28" s="17" t="s">
        <v>44</v>
      </c>
      <c r="B28" s="18" t="s">
        <v>56</v>
      </c>
      <c r="C28" s="138">
        <f>'Rekenmodel 2026'!B8*C27</f>
        <v>17283</v>
      </c>
      <c r="D28" s="18"/>
      <c r="E28" s="18"/>
      <c r="F28" s="18"/>
    </row>
    <row r="29" spans="1:6" s="5" customFormat="1" ht="13.2" x14ac:dyDescent="0.3">
      <c r="A29" s="17" t="s">
        <v>51</v>
      </c>
      <c r="B29" s="20" t="s">
        <v>173</v>
      </c>
      <c r="C29" s="20"/>
      <c r="D29" s="20">
        <f ca="1">D25+D26</f>
        <v>52182.6</v>
      </c>
      <c r="E29" s="18"/>
      <c r="F29" s="18"/>
    </row>
    <row r="30" spans="1:6" s="5" customFormat="1" ht="13.8" thickBot="1" x14ac:dyDescent="0.35">
      <c r="A30" s="19" t="s">
        <v>71</v>
      </c>
      <c r="B30" s="26" t="s">
        <v>174</v>
      </c>
      <c r="C30" s="26"/>
      <c r="D30" s="27">
        <f ca="1">E30*D29</f>
        <v>5385.24</v>
      </c>
      <c r="E30" s="67">
        <v>0.1032</v>
      </c>
      <c r="F30" s="30" t="s">
        <v>66</v>
      </c>
    </row>
    <row r="31" spans="1:6" s="5" customFormat="1" ht="14.4" customHeight="1" x14ac:dyDescent="0.3">
      <c r="A31" s="17"/>
      <c r="B31" s="18"/>
      <c r="C31" s="18"/>
      <c r="D31" s="18"/>
      <c r="E31" s="18"/>
      <c r="F31" s="18"/>
    </row>
    <row r="32" spans="1:6" s="5" customFormat="1" ht="14.4" customHeight="1" x14ac:dyDescent="0.3">
      <c r="A32" s="17"/>
      <c r="B32" s="18"/>
      <c r="C32" s="18"/>
      <c r="D32" s="18"/>
      <c r="E32" s="18"/>
      <c r="F32" s="18"/>
    </row>
    <row r="33" spans="1:6" s="5" customFormat="1" ht="13.2" customHeight="1" x14ac:dyDescent="0.3">
      <c r="A33" s="23"/>
      <c r="B33" s="24" t="s">
        <v>35</v>
      </c>
      <c r="C33" s="24"/>
      <c r="D33" s="25"/>
      <c r="E33" s="18"/>
      <c r="F33" s="18"/>
    </row>
    <row r="34" spans="1:6" s="5" customFormat="1" ht="13.2" customHeight="1" x14ac:dyDescent="0.3">
      <c r="A34" s="17" t="s">
        <v>166</v>
      </c>
      <c r="B34" s="18" t="s">
        <v>175</v>
      </c>
      <c r="C34" s="18"/>
      <c r="D34" s="18">
        <f ca="1">D25-D30</f>
        <v>64080.36</v>
      </c>
      <c r="E34" s="18"/>
      <c r="F34" s="18"/>
    </row>
    <row r="35" spans="1:6" s="5" customFormat="1" ht="13.2" customHeight="1" x14ac:dyDescent="0.3">
      <c r="A35" s="17" t="s">
        <v>167</v>
      </c>
      <c r="B35" s="22" t="s">
        <v>45</v>
      </c>
      <c r="C35" s="22"/>
      <c r="D35" s="18">
        <v>79409</v>
      </c>
      <c r="E35" s="18"/>
      <c r="F35" s="18" t="s">
        <v>78</v>
      </c>
    </row>
    <row r="36" spans="1:6" s="5" customFormat="1" ht="13.2" customHeight="1" x14ac:dyDescent="0.3">
      <c r="A36" s="17" t="s">
        <v>168</v>
      </c>
      <c r="B36" s="18" t="s">
        <v>176</v>
      </c>
      <c r="C36" s="18"/>
      <c r="D36" s="66">
        <f ca="1">MIN(D34,D35)</f>
        <v>64080.36</v>
      </c>
      <c r="E36" s="18"/>
      <c r="F36" s="18"/>
    </row>
    <row r="37" spans="1:6" s="5" customFormat="1" ht="13.2" customHeight="1" thickBot="1" x14ac:dyDescent="0.35">
      <c r="A37" s="19" t="s">
        <v>169</v>
      </c>
      <c r="B37" s="26" t="s">
        <v>73</v>
      </c>
      <c r="C37" s="26"/>
      <c r="D37" s="27">
        <f ca="1">E37*D36</f>
        <v>3908.9</v>
      </c>
      <c r="E37" s="65">
        <v>6.0999999999999999E-2</v>
      </c>
      <c r="F37" s="18"/>
    </row>
    <row r="38" spans="1:6" s="5" customFormat="1" ht="13.2" customHeight="1" x14ac:dyDescent="0.3">
      <c r="A38" s="17"/>
      <c r="B38" s="18"/>
      <c r="C38" s="18"/>
      <c r="D38" s="18"/>
      <c r="E38" s="28"/>
      <c r="F38" s="18"/>
    </row>
    <row r="39" spans="1:6" s="5" customFormat="1" ht="13.2" customHeight="1" x14ac:dyDescent="0.3">
      <c r="A39" s="17"/>
      <c r="B39" s="18"/>
      <c r="C39" s="18"/>
      <c r="D39" s="18"/>
      <c r="E39" s="28"/>
      <c r="F39" s="18"/>
    </row>
    <row r="40" spans="1:6" s="5" customFormat="1" ht="13.2" x14ac:dyDescent="0.3">
      <c r="A40" s="23"/>
      <c r="B40" s="24" t="s">
        <v>52</v>
      </c>
      <c r="C40" s="24"/>
      <c r="D40" s="25"/>
      <c r="E40" s="29"/>
      <c r="F40" s="18"/>
    </row>
    <row r="41" spans="1:6" ht="13.5" customHeight="1" x14ac:dyDescent="0.25">
      <c r="A41" s="17" t="s">
        <v>170</v>
      </c>
      <c r="B41" s="37" t="s">
        <v>52</v>
      </c>
      <c r="C41" s="37"/>
      <c r="D41" s="37">
        <f>IF(AND('Rekenmodel 2026'!B13="nee", 'Rekenmodel 2026'!B16="ja"), 'Rekenmodel 2026'!B17*E41*0.2, 0)</f>
        <v>0</v>
      </c>
      <c r="E41" s="65">
        <v>1.2E-2</v>
      </c>
      <c r="F41" s="30" t="s">
        <v>68</v>
      </c>
    </row>
    <row r="42" spans="1:6" ht="13.5" customHeight="1" x14ac:dyDescent="0.25">
      <c r="A42" s="38"/>
      <c r="B42" s="39"/>
      <c r="C42" s="39"/>
      <c r="D42" s="39"/>
      <c r="E42" s="39"/>
      <c r="F42" s="40" t="s">
        <v>67</v>
      </c>
    </row>
    <row r="43" spans="1:6" x14ac:dyDescent="0.25">
      <c r="A43" s="42" t="s">
        <v>4</v>
      </c>
      <c r="B43" s="41"/>
      <c r="C43" s="41"/>
      <c r="D43" s="41"/>
      <c r="E43" s="41"/>
      <c r="F43" s="41"/>
    </row>
    <row r="44" spans="1:6" x14ac:dyDescent="0.25">
      <c r="A44" s="42" t="s">
        <v>27</v>
      </c>
      <c r="B44" s="41"/>
      <c r="C44" s="41"/>
      <c r="D44" s="41"/>
      <c r="E44" s="41"/>
      <c r="F44" s="41"/>
    </row>
    <row r="45" spans="1:6" x14ac:dyDescent="0.25">
      <c r="A45" s="42"/>
      <c r="B45" s="41"/>
      <c r="C45" s="41"/>
      <c r="D45" s="41"/>
      <c r="E45" s="41"/>
      <c r="F45" s="41"/>
    </row>
    <row r="46" spans="1:6" x14ac:dyDescent="0.25">
      <c r="A46" s="42" t="s">
        <v>6</v>
      </c>
      <c r="B46" s="41"/>
      <c r="C46" s="41"/>
      <c r="D46" s="41"/>
      <c r="E46" s="41"/>
      <c r="F46" s="41"/>
    </row>
    <row r="47" spans="1:6" x14ac:dyDescent="0.25">
      <c r="A47" s="42" t="s">
        <v>28</v>
      </c>
      <c r="B47" s="41"/>
      <c r="C47" s="41"/>
      <c r="D47" s="41"/>
      <c r="E47" s="41"/>
      <c r="F47" s="41"/>
    </row>
    <row r="48" spans="1:6" x14ac:dyDescent="0.25">
      <c r="A48" s="42"/>
      <c r="B48" s="41"/>
      <c r="C48" s="41"/>
      <c r="D48" s="41"/>
      <c r="E48" s="41"/>
      <c r="F48" s="41"/>
    </row>
    <row r="49" spans="1:6" x14ac:dyDescent="0.25">
      <c r="A49" s="42"/>
      <c r="D49" s="41"/>
      <c r="E49" s="41"/>
      <c r="F49" s="41"/>
    </row>
    <row r="50" spans="1:6" x14ac:dyDescent="0.25">
      <c r="A50" s="41"/>
      <c r="D50" s="41"/>
      <c r="E50" s="41"/>
      <c r="F50" s="41"/>
    </row>
  </sheetData>
  <sheetProtection algorithmName="SHA-512" hashValue="iGSTiFf42NGogAisWFbqkFFadgELZEpE+jgLmV12YAqgUHYE3K16zvtoCY6CfdU2DFARItyPfkEMXxXhQDjDCQ==" saltValue="CSntcfQcqyCV/vpSn0ugWg==" spinCount="100000" sheet="1" objects="1" scenarios="1"/>
  <mergeCells count="1">
    <mergeCell ref="A1:D1"/>
  </mergeCells>
  <phoneticPr fontId="12" type="noConversion"/>
  <pageMargins left="0.11811023622047245" right="0" top="0.39370078740157483" bottom="0.78740157480314965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33"/>
  <sheetViews>
    <sheetView workbookViewId="0">
      <selection activeCell="D26" sqref="A1:D31"/>
    </sheetView>
  </sheetViews>
  <sheetFormatPr defaultColWidth="12.59765625" defaultRowHeight="13.2" x14ac:dyDescent="0.25"/>
  <cols>
    <col min="1" max="1" width="14" style="1" customWidth="1"/>
    <col min="2" max="2" width="10.59765625" style="1" customWidth="1"/>
    <col min="3" max="3" width="10.69921875" style="1" customWidth="1"/>
    <col min="4" max="4" width="25.19921875" style="1" customWidth="1"/>
    <col min="5" max="6" width="13.69921875" style="1" customWidth="1"/>
    <col min="7" max="16384" width="12.59765625" style="1"/>
  </cols>
  <sheetData>
    <row r="1" spans="1:4" ht="19.8" customHeight="1" x14ac:dyDescent="0.25">
      <c r="A1" s="60"/>
      <c r="B1" s="59" t="s">
        <v>188</v>
      </c>
      <c r="C1" s="60"/>
    </row>
    <row r="2" spans="1:4" ht="20.399999999999999" x14ac:dyDescent="0.25">
      <c r="A2" s="53" t="s">
        <v>29</v>
      </c>
      <c r="B2" s="57" t="s">
        <v>30</v>
      </c>
      <c r="C2" s="57" t="s">
        <v>31</v>
      </c>
      <c r="D2" s="53"/>
    </row>
    <row r="3" spans="1:4" x14ac:dyDescent="0.25">
      <c r="A3" s="6"/>
      <c r="B3" s="11" t="s">
        <v>32</v>
      </c>
      <c r="C3" s="11" t="s">
        <v>33</v>
      </c>
      <c r="D3" s="53"/>
    </row>
    <row r="4" spans="1:4" x14ac:dyDescent="0.25">
      <c r="A4" s="61" t="s">
        <v>50</v>
      </c>
      <c r="B4" s="7" t="s">
        <v>34</v>
      </c>
      <c r="C4" s="7" t="s">
        <v>34</v>
      </c>
      <c r="D4" s="54"/>
    </row>
    <row r="5" spans="1:4" x14ac:dyDescent="0.25">
      <c r="A5" s="7">
        <v>0</v>
      </c>
      <c r="B5" s="9">
        <v>4538</v>
      </c>
      <c r="C5" s="9">
        <v>5042</v>
      </c>
      <c r="D5" s="55"/>
    </row>
    <row r="6" spans="1:4" x14ac:dyDescent="0.25">
      <c r="A6" s="7">
        <v>1</v>
      </c>
      <c r="B6" s="9">
        <v>4598</v>
      </c>
      <c r="C6" s="9">
        <v>5167</v>
      </c>
      <c r="D6" s="55"/>
    </row>
    <row r="7" spans="1:4" x14ac:dyDescent="0.25">
      <c r="A7" s="7">
        <v>2</v>
      </c>
      <c r="B7" s="9">
        <v>4661</v>
      </c>
      <c r="C7" s="9">
        <v>5293</v>
      </c>
      <c r="D7" s="55"/>
    </row>
    <row r="8" spans="1:4" x14ac:dyDescent="0.25">
      <c r="A8" s="7">
        <v>3</v>
      </c>
      <c r="B8" s="9">
        <v>4723</v>
      </c>
      <c r="C8" s="9">
        <v>5416</v>
      </c>
      <c r="D8" s="55"/>
    </row>
    <row r="9" spans="1:4" x14ac:dyDescent="0.25">
      <c r="A9" s="7">
        <v>4</v>
      </c>
      <c r="B9" s="9">
        <v>4831</v>
      </c>
      <c r="C9" s="9">
        <v>5541</v>
      </c>
      <c r="D9" s="55"/>
    </row>
    <row r="10" spans="1:4" x14ac:dyDescent="0.25">
      <c r="A10" s="7">
        <v>5</v>
      </c>
      <c r="B10" s="9">
        <v>4937</v>
      </c>
      <c r="C10" s="9">
        <v>5666</v>
      </c>
      <c r="D10" s="55"/>
    </row>
    <row r="11" spans="1:4" x14ac:dyDescent="0.25">
      <c r="A11" s="7">
        <v>6</v>
      </c>
      <c r="B11" s="9">
        <v>5042</v>
      </c>
      <c r="C11" s="9">
        <v>5790</v>
      </c>
      <c r="D11" s="55"/>
    </row>
    <row r="12" spans="1:4" x14ac:dyDescent="0.25">
      <c r="A12" s="7">
        <v>7</v>
      </c>
      <c r="B12" s="9">
        <v>5148</v>
      </c>
      <c r="C12" s="9">
        <v>5917</v>
      </c>
      <c r="D12" s="55"/>
    </row>
    <row r="13" spans="1:4" x14ac:dyDescent="0.25">
      <c r="A13" s="7">
        <v>8</v>
      </c>
      <c r="B13" s="9">
        <v>5255</v>
      </c>
      <c r="C13" s="9">
        <v>6040</v>
      </c>
      <c r="D13" s="55"/>
    </row>
    <row r="14" spans="1:4" x14ac:dyDescent="0.25">
      <c r="A14" s="7">
        <v>9</v>
      </c>
      <c r="B14" s="9">
        <v>5360</v>
      </c>
      <c r="C14" s="9">
        <v>6167</v>
      </c>
      <c r="D14" s="55"/>
    </row>
    <row r="15" spans="1:4" x14ac:dyDescent="0.25">
      <c r="A15" s="7">
        <v>10</v>
      </c>
      <c r="B15" s="9">
        <v>5466</v>
      </c>
      <c r="C15" s="9">
        <v>6290</v>
      </c>
      <c r="D15" s="55"/>
    </row>
    <row r="16" spans="1:4" x14ac:dyDescent="0.25">
      <c r="A16" s="7">
        <v>11</v>
      </c>
      <c r="B16" s="9">
        <v>5573</v>
      </c>
      <c r="C16" s="9">
        <v>6415</v>
      </c>
      <c r="D16" s="55"/>
    </row>
    <row r="17" spans="1:4" x14ac:dyDescent="0.25">
      <c r="A17" s="7">
        <v>12</v>
      </c>
      <c r="B17" s="9">
        <v>5678</v>
      </c>
      <c r="C17" s="9">
        <v>6541</v>
      </c>
      <c r="D17" s="55"/>
    </row>
    <row r="18" spans="1:4" x14ac:dyDescent="0.25">
      <c r="A18" s="7">
        <v>13</v>
      </c>
      <c r="B18" s="9">
        <v>5785</v>
      </c>
      <c r="C18" s="9">
        <v>6665</v>
      </c>
      <c r="D18" s="55"/>
    </row>
    <row r="19" spans="1:4" x14ac:dyDescent="0.25">
      <c r="A19" s="7">
        <v>14</v>
      </c>
      <c r="B19" s="9">
        <v>5890</v>
      </c>
      <c r="C19" s="9">
        <v>6791</v>
      </c>
      <c r="D19" s="55"/>
    </row>
    <row r="20" spans="1:4" x14ac:dyDescent="0.25">
      <c r="A20" s="7">
        <v>15</v>
      </c>
      <c r="B20" s="9">
        <v>5997</v>
      </c>
      <c r="C20" s="9">
        <v>6913</v>
      </c>
      <c r="D20" s="55"/>
    </row>
    <row r="21" spans="1:4" x14ac:dyDescent="0.25">
      <c r="A21" s="7">
        <v>16</v>
      </c>
      <c r="B21" s="9">
        <v>6103</v>
      </c>
      <c r="C21" s="9">
        <v>7039</v>
      </c>
      <c r="D21" s="55"/>
    </row>
    <row r="22" spans="1:4" x14ac:dyDescent="0.25">
      <c r="A22" s="7">
        <v>17</v>
      </c>
      <c r="B22" s="9">
        <v>6210</v>
      </c>
      <c r="C22" s="9">
        <v>7164</v>
      </c>
      <c r="D22" s="55"/>
    </row>
    <row r="23" spans="1:4" x14ac:dyDescent="0.25">
      <c r="A23" s="7">
        <v>18</v>
      </c>
      <c r="B23" s="9">
        <v>6314</v>
      </c>
      <c r="C23" s="9">
        <v>7288</v>
      </c>
      <c r="D23" s="55"/>
    </row>
    <row r="24" spans="1:4" x14ac:dyDescent="0.25">
      <c r="A24" s="7">
        <v>19</v>
      </c>
      <c r="B24" s="9">
        <v>6422</v>
      </c>
      <c r="C24" s="9">
        <v>7413</v>
      </c>
      <c r="D24" s="55"/>
    </row>
    <row r="25" spans="1:4" x14ac:dyDescent="0.25">
      <c r="A25" s="7">
        <v>20</v>
      </c>
      <c r="B25" s="9">
        <v>6527</v>
      </c>
      <c r="C25" s="9">
        <v>7538</v>
      </c>
      <c r="D25" s="55"/>
    </row>
    <row r="26" spans="1:4" ht="13.8" x14ac:dyDescent="0.3">
      <c r="A26" s="56">
        <v>21</v>
      </c>
      <c r="B26" s="62">
        <v>6284</v>
      </c>
      <c r="C26" s="62">
        <v>7260</v>
      </c>
      <c r="D26" s="160" t="s">
        <v>135</v>
      </c>
    </row>
    <row r="27" spans="1:4" ht="13.2" customHeight="1" x14ac:dyDescent="0.3">
      <c r="A27" s="56">
        <v>22</v>
      </c>
      <c r="B27" s="62">
        <v>6385</v>
      </c>
      <c r="C27" s="62">
        <v>7377</v>
      </c>
      <c r="D27" s="161"/>
    </row>
    <row r="28" spans="1:4" ht="13.2" customHeight="1" x14ac:dyDescent="0.3">
      <c r="A28" s="56">
        <v>23</v>
      </c>
      <c r="B28" s="62">
        <v>6485</v>
      </c>
      <c r="C28" s="62">
        <v>7496</v>
      </c>
      <c r="D28" s="161"/>
    </row>
    <row r="29" spans="1:4" ht="13.2" customHeight="1" x14ac:dyDescent="0.25">
      <c r="A29" s="56">
        <v>24</v>
      </c>
      <c r="B29" s="58"/>
      <c r="C29" s="12">
        <v>7615</v>
      </c>
      <c r="D29" s="161"/>
    </row>
    <row r="30" spans="1:4" ht="13.05" customHeight="1" x14ac:dyDescent="0.25">
      <c r="A30" s="56">
        <v>25</v>
      </c>
      <c r="B30" s="58"/>
      <c r="C30" s="12">
        <v>7732</v>
      </c>
      <c r="D30" s="161"/>
    </row>
    <row r="31" spans="1:4" ht="13.2" customHeight="1" x14ac:dyDescent="0.25">
      <c r="A31" s="56">
        <v>26</v>
      </c>
      <c r="B31" s="58"/>
      <c r="C31" s="12">
        <v>7850</v>
      </c>
      <c r="D31" s="161"/>
    </row>
    <row r="32" spans="1:4" x14ac:dyDescent="0.25">
      <c r="A32" s="8"/>
      <c r="B32" s="8"/>
      <c r="C32" s="8"/>
      <c r="D32" s="8"/>
    </row>
    <row r="33" spans="1:4" x14ac:dyDescent="0.25">
      <c r="A33" s="8"/>
      <c r="B33" s="10"/>
      <c r="C33" s="10"/>
      <c r="D33" s="8"/>
    </row>
  </sheetData>
  <sheetProtection algorithmName="SHA-512" hashValue="U+rtFYxbY/cKOpuSIXDPJoLiyMbYn4oCz3n86QGQQJxN9LR99RozUxTlcrN8rrrQ/GhzC+Rj2mqeYruB7KUMGw==" saltValue="x6JuYiQOtUhOfnO6xQNPSQ==" spinCount="100000" sheet="1" objects="1" scenarios="1"/>
  <mergeCells count="1">
    <mergeCell ref="D26:D31"/>
  </mergeCells>
  <pageMargins left="0.55118110236220474" right="0.35433070866141736" top="0.78740157480314965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f1fd5e1d-08da-47bf-8d8e-7a436abde1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EF7622874D44BB71DE4138411C60B" ma:contentTypeVersion="13" ma:contentTypeDescription="Een nieuw document maken." ma:contentTypeScope="" ma:versionID="2f74717b8f4954b04e7b3dfa6e6acaa9">
  <xsd:schema xmlns:xsd="http://www.w3.org/2001/XMLSchema" xmlns:xs="http://www.w3.org/2001/XMLSchema" xmlns:p="http://schemas.microsoft.com/office/2006/metadata/properties" xmlns:ns2="f1fd5e1d-08da-47bf-8d8e-7a436abde1e0" xmlns:ns3="ec5e69af-7392-4b9b-be92-39e8e642d42a" targetNamespace="http://schemas.microsoft.com/office/2006/metadata/properties" ma:root="true" ma:fieldsID="ccfde8cd3ce65b289937e2d693957f48" ns2:_="" ns3:_="">
    <xsd:import namespace="f1fd5e1d-08da-47bf-8d8e-7a436abde1e0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d5e1d-08da-47bf-8d8e-7a436abde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S 3 w z V 7 U 9 h m G j A A A A 9 g A A A B I A H A B D b 2 5 m a W c v U G F j a 2 F n Z S 5 4 b W w g o h g A K K A U A A A A A A A A A A A A A A A A A A A A A A A A A A A A h Y + x D o I w F E V / h X S n L X U x 5 F E H V z A m J s a 1 K R U a 4 W F o s f y b g 5 / k L 4 h R 1 M 3 x n n u G e + / X G 6 z G t o k u p n e 2 w 4 w k l J P I o O 5 K i 1 V G B n + M l 2 Q l Y a v 0 S V U m m m R 0 6 e j K j N T e n 1 P G Q g g 0 L G j X V 0 x w n r B D k e 9 0 b V p F P r L 9 L 8 c W n V e o D Z G w f 4 2 R g i a C U y E E 5 c B m C I X F r y C m v c / 2 B 8 J 6 a P z Q G 4 l N v M m B z R H Y + 4 N 8 A F B L A w Q U A A I A C A B L f D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w z V y i K R 7 g O A A A A E Q A A A B M A H A B G b 3 J t d W x h c y 9 T Z W N 0 a W 9 u M S 5 t I K I Y A C i g F A A A A A A A A A A A A A A A A A A A A A A A A A A A A C t O T S 7 J z M 9 T C I b Q h t Y A U E s B A i 0 A F A A C A A g A S 3 w z V 7 U 9 h m G j A A A A 9 g A A A B I A A A A A A A A A A A A A A A A A A A A A A E N v b m Z p Z y 9 Q Y W N r Y W d l L n h t b F B L A Q I t A B Q A A g A I A E t 8 M 1 c P y u m r p A A A A O k A A A A T A A A A A A A A A A A A A A A A A O 8 A A A B b Q 2 9 u d G V u d F 9 U e X B l c 1 0 u e G 1 s U E s B A i 0 A F A A C A A g A S 3 w z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q i s Q k q 7 N h K m I f 6 3 U 3 e e 9 E A A A A A A g A A A A A A E G Y A A A A B A A A g A A A A c 3 U T 8 j v d W D 0 S s M S W D c A d E 5 E o r y s / 8 e R n Z M H a 2 e k m 0 0 0 A A A A A D o A A A A A C A A A g A A A A o q T 8 P 9 D V n E d V O c 6 c c t 5 P P + 7 m l J 3 i b K v 4 g 9 1 + i 4 q F U f h Q A A A A z S + 5 K M / z N 6 t 6 V D 6 e G 4 w t l 6 C 6 t d r 1 v p 2 J K / S M l 1 K 6 f k + W 5 7 p g N S X g + z T V w a q Q p f O t h w o 9 c Z p Y b k 4 T 4 H p Z j 7 W Q z w 3 6 l H I k W o 5 Q U g 4 K g q Q l 2 b t A A A A A / s R H u k e Y 3 1 K N 1 U w u T S m J D F w o N z U C l C T n A a z q C x p 5 V A i e d R c s e / T r J O + d I 3 m z w Y Z p x n f 8 v a F 0 / m C K t w P r w 3 x / Y Q = = < / D a t a M a s h u p > 
</file>

<file path=customXml/itemProps1.xml><?xml version="1.0" encoding="utf-8"?>
<ds:datastoreItem xmlns:ds="http://schemas.openxmlformats.org/officeDocument/2006/customXml" ds:itemID="{149C87AE-B84F-4BE1-A02F-72FDA5F1A3A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ec5e69af-7392-4b9b-be92-39e8e642d42a"/>
    <ds:schemaRef ds:uri="f1fd5e1d-08da-47bf-8d8e-7a436abde1e0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DEA3FA7-F2D6-41C5-811B-FD2D28071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d5e1d-08da-47bf-8d8e-7a436abde1e0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5F2C62-7AE5-4D5A-8EF8-84129AE9A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 2026</vt:lpstr>
      <vt:lpstr>Berekeningen</vt:lpstr>
      <vt:lpstr>Traktementstabel 2026</vt:lpstr>
      <vt:lpstr>'Rekenmodel 2026'!Afdrukbereik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van Rees</dc:creator>
  <cp:keywords/>
  <dc:description/>
  <cp:lastModifiedBy>Gert van der Veen</cp:lastModifiedBy>
  <cp:revision/>
  <cp:lastPrinted>2026-01-14T15:08:03Z</cp:lastPrinted>
  <dcterms:created xsi:type="dcterms:W3CDTF">2003-11-21T19:44:55Z</dcterms:created>
  <dcterms:modified xsi:type="dcterms:W3CDTF">2026-03-31T10:30:35Z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