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Predikanten/TOPregeling NGK/2021/"/>
    </mc:Choice>
  </mc:AlternateContent>
  <xr:revisionPtr revIDLastSave="2" documentId="8_{06E3B710-6655-40B5-BF32-BE573DDB63B3}" xr6:coauthVersionLast="45" xr6:coauthVersionMax="45" xr10:uidLastSave="{EE359ECB-997E-4474-B510-4C772893D180}"/>
  <bookViews>
    <workbookView xWindow="-108" yWindow="-108" windowWidth="23256" windowHeight="12576" xr2:uid="{00000000-000D-0000-FFFF-FFFF00000000}"/>
  </bookViews>
  <sheets>
    <sheet name="Rekenmodel" sheetId="1" r:id="rId1"/>
    <sheet name="Traktementstabel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C44" i="1" s="1"/>
  <c r="C13" i="1" l="1"/>
  <c r="E44" i="1" l="1"/>
  <c r="D44" i="1"/>
  <c r="E25" i="1"/>
  <c r="D25" i="1"/>
  <c r="C25" i="1"/>
  <c r="B25" i="1" s="1"/>
  <c r="E33" i="1"/>
  <c r="D33" i="1" s="1"/>
  <c r="C33" i="1"/>
  <c r="B33" i="1" s="1"/>
  <c r="E31" i="1"/>
  <c r="D31" i="1" s="1"/>
  <c r="C31" i="1"/>
  <c r="B31" i="1" s="1"/>
  <c r="E30" i="1"/>
  <c r="D30" i="1" s="1"/>
  <c r="C30" i="1"/>
  <c r="B30" i="1" s="1"/>
  <c r="E29" i="1"/>
  <c r="D29" i="1" s="1"/>
  <c r="C29" i="1"/>
  <c r="B29" i="1" s="1"/>
  <c r="E28" i="1"/>
  <c r="D28" i="1" s="1"/>
  <c r="C28" i="1"/>
  <c r="B28" i="1" s="1"/>
  <c r="D27" i="1"/>
  <c r="D26" i="1"/>
  <c r="B16" i="1"/>
  <c r="B15" i="1"/>
  <c r="B20" i="1"/>
  <c r="B26" i="1"/>
  <c r="B27" i="1"/>
  <c r="E32" i="1" l="1"/>
  <c r="D32" i="1" s="1"/>
  <c r="C32" i="1"/>
  <c r="B32" i="1" s="1"/>
  <c r="B43" i="1"/>
  <c r="D43" i="1" s="1"/>
  <c r="B21" i="1"/>
  <c r="B55" i="1"/>
  <c r="D21" i="1"/>
  <c r="C43" i="1" l="1"/>
  <c r="C45" i="1" s="1"/>
  <c r="C46" i="1" s="1"/>
  <c r="C54" i="1" s="1"/>
  <c r="B45" i="1"/>
  <c r="B46" i="1" s="1"/>
  <c r="E43" i="1"/>
  <c r="E45" i="1" s="1"/>
  <c r="E46" i="1" s="1"/>
  <c r="E54" i="1" s="1"/>
  <c r="D45" i="1"/>
  <c r="D46" i="1" s="1"/>
  <c r="D47" i="1" s="1"/>
  <c r="C21" i="1"/>
  <c r="E21" i="1"/>
  <c r="B57" i="1" l="1"/>
  <c r="B56" i="1"/>
  <c r="B47" i="1"/>
  <c r="C22" i="1" s="1"/>
  <c r="B22" i="1" s="1"/>
  <c r="B23" i="1" s="1"/>
  <c r="E22" i="1"/>
  <c r="B39" i="1"/>
  <c r="C35" i="1"/>
  <c r="D39" i="1"/>
  <c r="E35" i="1"/>
  <c r="C58" i="1" l="1"/>
  <c r="C23" i="1"/>
  <c r="D22" i="1"/>
  <c r="D23" i="1" s="1"/>
  <c r="E23" i="1"/>
  <c r="B40" i="1"/>
  <c r="B41" i="1" s="1"/>
  <c r="B49" i="1" s="1"/>
  <c r="B50" i="1" s="1"/>
  <c r="C24" i="1" s="1"/>
  <c r="B24" i="1" s="1"/>
  <c r="B34" i="1" s="1"/>
  <c r="D40" i="1"/>
  <c r="D41" i="1" s="1"/>
  <c r="D49" i="1" s="1"/>
  <c r="D50" i="1" s="1"/>
  <c r="E24" i="1" s="1"/>
  <c r="D24" i="1" s="1"/>
  <c r="D34" i="1" l="1"/>
  <c r="C34" i="1"/>
  <c r="C36" i="1" s="1"/>
  <c r="C53" i="1" s="1"/>
  <c r="C59" i="1" s="1"/>
  <c r="E34" i="1"/>
  <c r="E36" i="1" s="1"/>
  <c r="E53" i="1" s="1"/>
  <c r="E59" i="1" s="1"/>
  <c r="B59" i="1" l="1"/>
</calcChain>
</file>

<file path=xl/sharedStrings.xml><?xml version="1.0" encoding="utf-8"?>
<sst xmlns="http://schemas.openxmlformats.org/spreadsheetml/2006/main" count="77" uniqueCount="71">
  <si>
    <t>Leden per predikant</t>
  </si>
  <si>
    <t>1= &lt;350; 2= 350/550; 3= &gt;550</t>
  </si>
  <si>
    <t>Ambtsjaren</t>
  </si>
  <si>
    <t>0 t/m 20</t>
  </si>
  <si>
    <t>Deeltijdfactor in procenten</t>
  </si>
  <si>
    <t>Auto km per jaar</t>
  </si>
  <si>
    <t>Fiets km per jaar</t>
  </si>
  <si>
    <t>Woont de predikant in de pastorie?</t>
  </si>
  <si>
    <t>Vergoeding voor studeerkamer per jaar</t>
  </si>
  <si>
    <t>Traktement volgens tabel</t>
  </si>
  <si>
    <t>Traktement</t>
  </si>
  <si>
    <t>jaartraktement</t>
  </si>
  <si>
    <t>vakantietoeslag 8%</t>
  </si>
  <si>
    <t>Franchise</t>
  </si>
  <si>
    <t>Inhouding emeritaat</t>
  </si>
  <si>
    <t>Subtotaal</t>
  </si>
  <si>
    <t>Bijdrage zorgverzekering</t>
  </si>
  <si>
    <t>Grondslag bijdrage zorgverzekering</t>
  </si>
  <si>
    <t>Vergoeding representatiekosten</t>
  </si>
  <si>
    <t>Vergoeding administratie- en bureaukosten</t>
  </si>
  <si>
    <t>Vergoeding vakliteratuur</t>
  </si>
  <si>
    <t>Vergoeding autokosten € 0,35 per km</t>
  </si>
  <si>
    <t>Vergoeding fietskosten € 0,05 per km</t>
  </si>
  <si>
    <t>Inhouding voor pastorie</t>
  </si>
  <si>
    <t>"ja" of "nee"</t>
  </si>
  <si>
    <t>Vergoeding voor studeerkamer</t>
  </si>
  <si>
    <t>Aan predikant uit te betalen bedrag</t>
  </si>
  <si>
    <t>Vakantietoeslag 8%,jaarlijks in mei</t>
  </si>
  <si>
    <t>Invullen</t>
  </si>
  <si>
    <t>Hulpberekeningen</t>
  </si>
  <si>
    <t>Aantal leden per predikant</t>
  </si>
  <si>
    <t>&lt; 350 leden</t>
  </si>
  <si>
    <t>350-550 leden</t>
  </si>
  <si>
    <t>&gt; 550 leden</t>
  </si>
  <si>
    <t>€</t>
  </si>
  <si>
    <t>ja</t>
  </si>
  <si>
    <t>Vergoeding mobiele telefoon</t>
  </si>
  <si>
    <t>Vergoeding mobiele telefoon per jaar</t>
  </si>
  <si>
    <t>Vergoeding vaste telefoon per jaar</t>
  </si>
  <si>
    <t>Vergoeding vaste telefoon</t>
  </si>
  <si>
    <t>zie punt 10 van de regeling</t>
  </si>
  <si>
    <t>Deeltijdfactor met TOP-regeling</t>
  </si>
  <si>
    <t>Deeltijdfactor voor traktement</t>
  </si>
  <si>
    <t>Deeltijdfactor voor pensioenpremie</t>
  </si>
  <si>
    <t>Vrijwillige voortzetting pensioenopbouw?</t>
  </si>
  <si>
    <t>Bruto grondslag inhouding emeritaat (FT)</t>
  </si>
  <si>
    <t>Netto grondslag inhouding emeritaat (FT)</t>
  </si>
  <si>
    <t>In deeltijd voor pensioenpremie</t>
  </si>
  <si>
    <t>Maand
bedragen
na TOP</t>
  </si>
  <si>
    <t>Jaar
bedragen
na TOP</t>
  </si>
  <si>
    <t>Maand
bedragen
voor TOP</t>
  </si>
  <si>
    <t>Jaar
bedragen
voor TOP</t>
  </si>
  <si>
    <t>Kosten gemeente</t>
  </si>
  <si>
    <t>uitbetalen aan predikant</t>
  </si>
  <si>
    <t>pensioenpremie PFZW</t>
  </si>
  <si>
    <t>vergoeding traktement</t>
  </si>
  <si>
    <t>vergoeding pensioenpremie</t>
  </si>
  <si>
    <t>vergoeding voortzetting pensioenopbouw</t>
  </si>
  <si>
    <t>ten laste van TOP-regeling</t>
  </si>
  <si>
    <t>A</t>
  </si>
  <si>
    <t>B</t>
  </si>
  <si>
    <t>C</t>
  </si>
  <si>
    <t>Bijdrage zorgverzekering 7%</t>
  </si>
  <si>
    <t>Rekenmodel traktement 2021
uitwerking nieuwe TOP-regeling</t>
  </si>
  <si>
    <t>Inhouding emeritaat 10%</t>
  </si>
  <si>
    <t>franchise</t>
  </si>
  <si>
    <t>eigen bijdrage</t>
  </si>
  <si>
    <t>pensioenpremie</t>
  </si>
  <si>
    <t>Parameters</t>
  </si>
  <si>
    <t>percentage ZvW</t>
  </si>
  <si>
    <t>maximum ZvW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</si>
</sst>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%"/>
  </numFmts>
  <fonts count="6" x14ac:knownFonts="1">
    <font>
      <sz val="10"/>
      <name val="Courier New"/>
    </font>
    <font>
      <b/>
      <sz val="10"/>
      <name val="Courier New"/>
      <family val="3"/>
    </font>
    <font>
      <sz val="10"/>
      <name val="Courier New"/>
      <family val="3"/>
    </font>
    <font>
      <sz val="10"/>
      <name val="Courier New"/>
      <family val="3"/>
    </font>
    <font>
      <sz val="10"/>
      <name val="Times New Roman"/>
      <family val="1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1" fontId="0" fillId="0" borderId="4" xfId="0" applyNumberFormat="1" applyBorder="1"/>
    <xf numFmtId="10" fontId="0" fillId="0" borderId="4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 applyBorder="1"/>
    <xf numFmtId="0" fontId="2" fillId="0" borderId="0" xfId="1"/>
    <xf numFmtId="4" fontId="1" fillId="0" borderId="6" xfId="0" applyNumberFormat="1" applyFont="1" applyBorder="1"/>
    <xf numFmtId="4" fontId="0" fillId="0" borderId="7" xfId="0" applyNumberFormat="1" applyBorder="1"/>
    <xf numFmtId="4" fontId="0" fillId="0" borderId="8" xfId="0" applyNumberFormat="1" applyBorder="1" applyAlignment="1">
      <alignment wrapText="1"/>
    </xf>
    <xf numFmtId="4" fontId="0" fillId="0" borderId="9" xfId="0" applyNumberFormat="1" applyBorder="1"/>
    <xf numFmtId="4" fontId="0" fillId="0" borderId="8" xfId="0" applyNumberFormat="1" applyBorder="1"/>
    <xf numFmtId="10" fontId="0" fillId="0" borderId="0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3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 wrapText="1"/>
    </xf>
    <xf numFmtId="4" fontId="0" fillId="0" borderId="12" xfId="0" applyNumberFormat="1" applyBorder="1"/>
    <xf numFmtId="164" fontId="0" fillId="0" borderId="0" xfId="0" applyNumberFormat="1"/>
    <xf numFmtId="10" fontId="0" fillId="0" borderId="2" xfId="2" applyNumberFormat="1" applyFont="1" applyBorder="1"/>
    <xf numFmtId="4" fontId="1" fillId="0" borderId="4" xfId="0" applyNumberFormat="1" applyFont="1" applyBorder="1"/>
    <xf numFmtId="4" fontId="0" fillId="0" borderId="6" xfId="0" applyNumberFormat="1" applyBorder="1"/>
    <xf numFmtId="4" fontId="1" fillId="0" borderId="8" xfId="0" applyNumberFormat="1" applyFont="1" applyBorder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/>
    <xf numFmtId="4" fontId="0" fillId="0" borderId="2" xfId="0" applyNumberFormat="1" applyFill="1" applyBorder="1"/>
    <xf numFmtId="4" fontId="0" fillId="0" borderId="11" xfId="0" applyNumberFormat="1" applyFill="1" applyBorder="1"/>
    <xf numFmtId="3" fontId="4" fillId="0" borderId="0" xfId="1" applyNumberFormat="1" applyFont="1" applyFill="1" applyAlignment="1">
      <alignment horizontal="center"/>
    </xf>
    <xf numFmtId="4" fontId="0" fillId="0" borderId="0" xfId="0" applyNumberFormat="1" applyFill="1" applyBorder="1"/>
    <xf numFmtId="4" fontId="2" fillId="0" borderId="8" xfId="0" applyNumberFormat="1" applyFont="1" applyFill="1" applyBorder="1"/>
    <xf numFmtId="4" fontId="2" fillId="0" borderId="4" xfId="0" applyNumberFormat="1" applyFont="1" applyBorder="1"/>
    <xf numFmtId="4" fontId="2" fillId="0" borderId="9" xfId="0" applyNumberFormat="1" applyFont="1" applyBorder="1"/>
    <xf numFmtId="4" fontId="2" fillId="0" borderId="11" xfId="0" applyNumberFormat="1" applyFont="1" applyBorder="1"/>
    <xf numFmtId="4" fontId="1" fillId="0" borderId="1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2" fillId="0" borderId="0" xfId="0" quotePrefix="1" applyNumberFormat="1" applyFont="1" applyBorder="1" applyAlignment="1">
      <alignment horizontal="left" vertical="center" wrapText="1"/>
    </xf>
    <xf numFmtId="0" fontId="2" fillId="0" borderId="9" xfId="0" quotePrefix="1" applyNumberFormat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2" fillId="2" borderId="6" xfId="0" applyNumberFormat="1" applyFont="1" applyFill="1" applyBorder="1"/>
    <xf numFmtId="165" fontId="0" fillId="2" borderId="8" xfId="2" applyNumberFormat="1" applyFont="1" applyFill="1" applyBorder="1"/>
    <xf numFmtId="10" fontId="0" fillId="2" borderId="8" xfId="2" applyNumberFormat="1" applyFont="1" applyFill="1" applyBorder="1"/>
    <xf numFmtId="3" fontId="0" fillId="2" borderId="8" xfId="0" applyNumberFormat="1" applyFill="1" applyBorder="1"/>
    <xf numFmtId="10" fontId="5" fillId="2" borderId="10" xfId="2" applyNumberFormat="1" applyFont="1" applyFill="1" applyBorder="1"/>
  </cellXfs>
  <cellStyles count="4">
    <cellStyle name="Normal 2" xfId="1" xr:uid="{00000000-0005-0000-0000-000001000000}"/>
    <cellStyle name="Procent" xfId="2" builtinId="5"/>
    <cellStyle name="Standaard" xfId="0" builtinId="0"/>
    <cellStyle name="Standaard 2" xfId="3" xr:uid="{FBBFA4D5-D1E0-44ED-B5D0-99F1AA62DA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1"/>
  <sheetViews>
    <sheetView tabSelected="1" workbookViewId="0">
      <pane ySplit="1" topLeftCell="A2" activePane="bottomLeft" state="frozen"/>
      <selection pane="bottomLeft" activeCell="G2" sqref="G2:G6"/>
    </sheetView>
  </sheetViews>
  <sheetFormatPr defaultColWidth="12.59765625" defaultRowHeight="13.8" x14ac:dyDescent="0.3"/>
  <cols>
    <col min="1" max="1" width="41.59765625" style="1" customWidth="1"/>
    <col min="2" max="3" width="13.59765625" style="1" customWidth="1"/>
    <col min="4" max="4" width="16.59765625" style="1" customWidth="1"/>
    <col min="5" max="6" width="12.59765625" style="1"/>
    <col min="7" max="7" width="9.8984375" style="1" bestFit="1" customWidth="1"/>
    <col min="8" max="8" width="14.796875" style="1" bestFit="1" customWidth="1"/>
    <col min="9" max="16384" width="12.59765625" style="1"/>
  </cols>
  <sheetData>
    <row r="1" spans="1:8" ht="37.35" customHeight="1" x14ac:dyDescent="0.3">
      <c r="A1" s="41" t="s">
        <v>63</v>
      </c>
      <c r="B1" s="42"/>
      <c r="C1" s="42"/>
      <c r="D1" s="42"/>
      <c r="E1" s="43"/>
      <c r="G1" s="46" t="s">
        <v>68</v>
      </c>
      <c r="H1" s="47"/>
    </row>
    <row r="2" spans="1:8" x14ac:dyDescent="0.3">
      <c r="A2" s="28"/>
      <c r="B2" s="27" t="s">
        <v>28</v>
      </c>
      <c r="E2" s="14"/>
      <c r="G2" s="48">
        <v>13111</v>
      </c>
      <c r="H2" s="12" t="s">
        <v>65</v>
      </c>
    </row>
    <row r="3" spans="1:8" x14ac:dyDescent="0.3">
      <c r="A3" s="15" t="s">
        <v>0</v>
      </c>
      <c r="B3" s="5">
        <v>2</v>
      </c>
      <c r="C3" s="1" t="s">
        <v>1</v>
      </c>
      <c r="E3" s="14"/>
      <c r="G3" s="49">
        <v>0.25</v>
      </c>
      <c r="H3" s="39" t="s">
        <v>67</v>
      </c>
    </row>
    <row r="4" spans="1:8" x14ac:dyDescent="0.3">
      <c r="A4" s="15" t="s">
        <v>2</v>
      </c>
      <c r="B4" s="5">
        <v>20</v>
      </c>
      <c r="C4" s="1" t="s">
        <v>3</v>
      </c>
      <c r="E4" s="14"/>
      <c r="G4" s="50">
        <v>0.1</v>
      </c>
      <c r="H4" s="39" t="s">
        <v>66</v>
      </c>
    </row>
    <row r="5" spans="1:8" x14ac:dyDescent="0.3">
      <c r="A5" s="15" t="s">
        <v>4</v>
      </c>
      <c r="B5" s="6">
        <v>1</v>
      </c>
      <c r="E5" s="14"/>
      <c r="G5" s="51">
        <v>58311</v>
      </c>
      <c r="H5" s="39" t="s">
        <v>70</v>
      </c>
    </row>
    <row r="6" spans="1:8" x14ac:dyDescent="0.3">
      <c r="A6" s="15" t="s">
        <v>41</v>
      </c>
      <c r="B6" s="6">
        <v>0.7</v>
      </c>
      <c r="E6" s="14"/>
      <c r="G6" s="52">
        <v>7.0000000000000007E-2</v>
      </c>
      <c r="H6" s="40" t="s">
        <v>69</v>
      </c>
    </row>
    <row r="7" spans="1:8" x14ac:dyDescent="0.3">
      <c r="A7" s="15" t="s">
        <v>44</v>
      </c>
      <c r="B7" s="38" t="s">
        <v>35</v>
      </c>
      <c r="C7" s="1" t="s">
        <v>24</v>
      </c>
      <c r="E7" s="14"/>
    </row>
    <row r="8" spans="1:8" x14ac:dyDescent="0.3">
      <c r="A8" s="15" t="s">
        <v>5</v>
      </c>
      <c r="B8" s="7">
        <v>0</v>
      </c>
      <c r="E8" s="14"/>
    </row>
    <row r="9" spans="1:8" x14ac:dyDescent="0.3">
      <c r="A9" s="15" t="s">
        <v>6</v>
      </c>
      <c r="B9" s="7">
        <v>0</v>
      </c>
      <c r="E9" s="14"/>
    </row>
    <row r="10" spans="1:8" x14ac:dyDescent="0.3">
      <c r="A10" s="15" t="s">
        <v>38</v>
      </c>
      <c r="B10" s="7">
        <v>240</v>
      </c>
      <c r="C10" s="1" t="s">
        <v>40</v>
      </c>
      <c r="E10" s="14"/>
    </row>
    <row r="11" spans="1:8" x14ac:dyDescent="0.3">
      <c r="A11" s="15" t="s">
        <v>37</v>
      </c>
      <c r="B11" s="7">
        <v>240</v>
      </c>
      <c r="C11" s="1" t="s">
        <v>40</v>
      </c>
      <c r="E11" s="14"/>
    </row>
    <row r="12" spans="1:8" x14ac:dyDescent="0.3">
      <c r="A12" s="15" t="s">
        <v>7</v>
      </c>
      <c r="B12" s="38" t="s">
        <v>35</v>
      </c>
      <c r="C12" s="1" t="s">
        <v>24</v>
      </c>
      <c r="E12" s="14"/>
    </row>
    <row r="13" spans="1:8" ht="14.1" customHeight="1" x14ac:dyDescent="0.3">
      <c r="A13" s="15" t="s">
        <v>8</v>
      </c>
      <c r="B13" s="8">
        <v>0</v>
      </c>
      <c r="C13" s="44" t="str">
        <f>IF(B12="nee","Als de predikant zelf in zijn werkruimte voorziet dient daar een financiële vergoeding tegenover te staan. Zie WAP-regeling 2021 par. 21.",
IF(ISBLANK(B12),"",
IF(B13&lt;&gt;0,"Vergoeding voor studeerkamer alleen invullen als de predikant
niet in de pastorie woont","")))</f>
        <v/>
      </c>
      <c r="D13" s="44"/>
      <c r="E13" s="45"/>
    </row>
    <row r="14" spans="1:8" ht="39" customHeight="1" x14ac:dyDescent="0.3">
      <c r="A14" s="15"/>
      <c r="B14" s="9"/>
      <c r="C14" s="44"/>
      <c r="D14" s="44"/>
      <c r="E14" s="45"/>
    </row>
    <row r="15" spans="1:8" x14ac:dyDescent="0.3">
      <c r="A15" s="21" t="s">
        <v>42</v>
      </c>
      <c r="B15" s="16">
        <f>MIN((B5+B6)/2,B6+0.1*B5)</f>
        <v>0.8</v>
      </c>
      <c r="C15" s="22"/>
      <c r="E15" s="14"/>
    </row>
    <row r="16" spans="1:8" x14ac:dyDescent="0.3">
      <c r="A16" s="21" t="s">
        <v>43</v>
      </c>
      <c r="B16" s="16">
        <f>IF(B7="ja",B5,B15)</f>
        <v>1</v>
      </c>
      <c r="C16" s="22"/>
      <c r="E16" s="18"/>
    </row>
    <row r="17" spans="1:5" ht="41.4" x14ac:dyDescent="0.3">
      <c r="A17" s="20"/>
      <c r="B17" s="19" t="s">
        <v>48</v>
      </c>
      <c r="C17" s="23" t="s">
        <v>49</v>
      </c>
      <c r="D17" s="19" t="s">
        <v>50</v>
      </c>
      <c r="E17" s="23" t="s">
        <v>51</v>
      </c>
    </row>
    <row r="18" spans="1:5" x14ac:dyDescent="0.3">
      <c r="A18" s="15"/>
      <c r="C18" s="14"/>
      <c r="D18" s="9"/>
      <c r="E18" s="14"/>
    </row>
    <row r="19" spans="1:5" x14ac:dyDescent="0.3">
      <c r="A19" s="15"/>
      <c r="C19" s="14"/>
      <c r="D19" s="9"/>
      <c r="E19" s="14"/>
    </row>
    <row r="20" spans="1:5" ht="13.5" customHeight="1" x14ac:dyDescent="0.3">
      <c r="A20" s="15" t="s">
        <v>9</v>
      </c>
      <c r="B20" s="9">
        <f ca="1">OFFSET(Traktementstabel!A4,B4,B3)</f>
        <v>5694</v>
      </c>
      <c r="C20" s="14"/>
      <c r="D20" s="9"/>
      <c r="E20" s="14"/>
    </row>
    <row r="21" spans="1:5" ht="13.5" customHeight="1" x14ac:dyDescent="0.3">
      <c r="A21" s="15" t="s">
        <v>10</v>
      </c>
      <c r="B21" s="9">
        <f ca="1">B20*B15</f>
        <v>4555.2</v>
      </c>
      <c r="C21" s="14">
        <f ca="1">B21*12</f>
        <v>54662.400000000001</v>
      </c>
      <c r="D21" s="9">
        <f ca="1">B20*B5</f>
        <v>5694</v>
      </c>
      <c r="E21" s="14">
        <f ca="1">D21*12</f>
        <v>68328</v>
      </c>
    </row>
    <row r="22" spans="1:5" ht="13.5" customHeight="1" x14ac:dyDescent="0.3">
      <c r="A22" s="15" t="s">
        <v>14</v>
      </c>
      <c r="B22" s="3">
        <f ca="1">C22/12</f>
        <v>-505.69</v>
      </c>
      <c r="C22" s="18">
        <f ca="1">-B47</f>
        <v>-6068.32</v>
      </c>
      <c r="D22" s="3">
        <f ca="1">E22/12</f>
        <v>-505.69</v>
      </c>
      <c r="E22" s="18">
        <f ca="1">-D47</f>
        <v>-6068.32</v>
      </c>
    </row>
    <row r="23" spans="1:5" ht="13.5" customHeight="1" x14ac:dyDescent="0.3">
      <c r="A23" s="15" t="s">
        <v>15</v>
      </c>
      <c r="B23" s="9">
        <f ca="1">SUM(B21:B22)</f>
        <v>4049.51</v>
      </c>
      <c r="C23" s="14">
        <f ca="1">SUM(C21:C22)</f>
        <v>48594.080000000002</v>
      </c>
      <c r="D23" s="9">
        <f ca="1">SUM(D21:D22)</f>
        <v>5188.3100000000004</v>
      </c>
      <c r="E23" s="14">
        <f ca="1">SUM(E21:E22)</f>
        <v>62259.68</v>
      </c>
    </row>
    <row r="24" spans="1:5" ht="13.5" customHeight="1" x14ac:dyDescent="0.3">
      <c r="A24" s="15" t="s">
        <v>16</v>
      </c>
      <c r="B24" s="9">
        <f t="shared" ref="B24:B33" ca="1" si="0">C24/12</f>
        <v>308.97000000000003</v>
      </c>
      <c r="C24" s="14">
        <f ca="1">B50</f>
        <v>3707.69</v>
      </c>
      <c r="D24" s="9">
        <f t="shared" ref="D24:D33" ca="1" si="1">E24/12</f>
        <v>340.15</v>
      </c>
      <c r="E24" s="14">
        <f ca="1">D50</f>
        <v>4081.77</v>
      </c>
    </row>
    <row r="25" spans="1:5" ht="13.5" customHeight="1" x14ac:dyDescent="0.3">
      <c r="A25" s="15" t="s">
        <v>18</v>
      </c>
      <c r="B25" s="9">
        <f t="shared" si="0"/>
        <v>52.5</v>
      </c>
      <c r="C25" s="14">
        <f>900*B6</f>
        <v>630</v>
      </c>
      <c r="D25" s="9">
        <f t="shared" si="1"/>
        <v>75</v>
      </c>
      <c r="E25" s="14">
        <f>900*B5</f>
        <v>900</v>
      </c>
    </row>
    <row r="26" spans="1:5" ht="13.5" customHeight="1" x14ac:dyDescent="0.3">
      <c r="A26" s="15" t="s">
        <v>19</v>
      </c>
      <c r="B26" s="9">
        <f t="shared" si="0"/>
        <v>66.67</v>
      </c>
      <c r="C26" s="14">
        <v>800</v>
      </c>
      <c r="D26" s="9">
        <f t="shared" si="1"/>
        <v>66.67</v>
      </c>
      <c r="E26" s="14">
        <v>800</v>
      </c>
    </row>
    <row r="27" spans="1:5" ht="13.5" customHeight="1" x14ac:dyDescent="0.3">
      <c r="A27" s="15" t="s">
        <v>20</v>
      </c>
      <c r="B27" s="9">
        <f t="shared" si="0"/>
        <v>83.33</v>
      </c>
      <c r="C27" s="14">
        <v>1000</v>
      </c>
      <c r="D27" s="9">
        <f t="shared" si="1"/>
        <v>83.33</v>
      </c>
      <c r="E27" s="14">
        <v>1000</v>
      </c>
    </row>
    <row r="28" spans="1:5" ht="13.5" customHeight="1" x14ac:dyDescent="0.3">
      <c r="A28" s="15" t="s">
        <v>21</v>
      </c>
      <c r="B28" s="9">
        <f t="shared" si="0"/>
        <v>0</v>
      </c>
      <c r="C28" s="14">
        <f>0.35*$B$8</f>
        <v>0</v>
      </c>
      <c r="D28" s="9">
        <f t="shared" si="1"/>
        <v>0</v>
      </c>
      <c r="E28" s="14">
        <f>0.35*$B$8</f>
        <v>0</v>
      </c>
    </row>
    <row r="29" spans="1:5" ht="13.5" customHeight="1" x14ac:dyDescent="0.3">
      <c r="A29" s="15" t="s">
        <v>22</v>
      </c>
      <c r="B29" s="9">
        <f t="shared" si="0"/>
        <v>0</v>
      </c>
      <c r="C29" s="14">
        <f>0.05*$B$9</f>
        <v>0</v>
      </c>
      <c r="D29" s="9">
        <f t="shared" si="1"/>
        <v>0</v>
      </c>
      <c r="E29" s="14">
        <f>0.05*$B$9</f>
        <v>0</v>
      </c>
    </row>
    <row r="30" spans="1:5" ht="13.5" customHeight="1" x14ac:dyDescent="0.3">
      <c r="A30" s="15" t="s">
        <v>39</v>
      </c>
      <c r="B30" s="9">
        <f t="shared" si="0"/>
        <v>20</v>
      </c>
      <c r="C30" s="14">
        <f>$B$10</f>
        <v>240</v>
      </c>
      <c r="D30" s="9">
        <f t="shared" si="1"/>
        <v>20</v>
      </c>
      <c r="E30" s="14">
        <f>$B$10</f>
        <v>240</v>
      </c>
    </row>
    <row r="31" spans="1:5" ht="13.5" customHeight="1" x14ac:dyDescent="0.3">
      <c r="A31" s="15" t="s">
        <v>36</v>
      </c>
      <c r="B31" s="9">
        <f t="shared" si="0"/>
        <v>20</v>
      </c>
      <c r="C31" s="14">
        <f>$B$11</f>
        <v>240</v>
      </c>
      <c r="D31" s="9">
        <f t="shared" si="1"/>
        <v>20</v>
      </c>
      <c r="E31" s="14">
        <f>$B$11</f>
        <v>240</v>
      </c>
    </row>
    <row r="32" spans="1:5" ht="13.5" customHeight="1" x14ac:dyDescent="0.3">
      <c r="A32" s="15" t="s">
        <v>23</v>
      </c>
      <c r="B32" s="9">
        <f t="shared" ca="1" si="0"/>
        <v>-737.94</v>
      </c>
      <c r="C32" s="14">
        <f ca="1">-IF($B$12="ja",12.96%*12*$B$20,0)</f>
        <v>-8855.31</v>
      </c>
      <c r="D32" s="9">
        <f t="shared" ca="1" si="1"/>
        <v>-737.94</v>
      </c>
      <c r="E32" s="14">
        <f ca="1">-IF($B$12="ja",12.96%*12*$B$20,0)</f>
        <v>-8855.31</v>
      </c>
    </row>
    <row r="33" spans="1:5" ht="13.5" customHeight="1" x14ac:dyDescent="0.3">
      <c r="A33" s="15" t="s">
        <v>25</v>
      </c>
      <c r="B33" s="9">
        <f t="shared" si="0"/>
        <v>0</v>
      </c>
      <c r="C33" s="14">
        <f>$B$13</f>
        <v>0</v>
      </c>
      <c r="D33" s="9">
        <f t="shared" si="1"/>
        <v>0</v>
      </c>
      <c r="E33" s="14">
        <f>$B$13</f>
        <v>0</v>
      </c>
    </row>
    <row r="34" spans="1:5" ht="13.5" customHeight="1" thickBot="1" x14ac:dyDescent="0.35">
      <c r="A34" s="15" t="s">
        <v>26</v>
      </c>
      <c r="B34" s="2">
        <f ca="1">SUM(B23:B33)</f>
        <v>3863.04</v>
      </c>
      <c r="C34" s="12">
        <f ca="1">SUM(C23:C33)</f>
        <v>46356.46</v>
      </c>
      <c r="D34" s="2">
        <f ca="1">SUM(D23:D33)</f>
        <v>5055.5200000000004</v>
      </c>
      <c r="E34" s="12">
        <f ca="1">SUM(E23:E33)</f>
        <v>60666.14</v>
      </c>
    </row>
    <row r="35" spans="1:5" ht="13.5" customHeight="1" thickTop="1" x14ac:dyDescent="0.3">
      <c r="A35" s="13" t="s">
        <v>27</v>
      </c>
      <c r="B35" s="9"/>
      <c r="C35" s="14">
        <f ca="1">8%*C21</f>
        <v>4372.99</v>
      </c>
      <c r="D35" s="9"/>
      <c r="E35" s="14">
        <f ca="1">8%*E21</f>
        <v>5466.24</v>
      </c>
    </row>
    <row r="36" spans="1:5" ht="13.5" customHeight="1" thickBot="1" x14ac:dyDescent="0.35">
      <c r="A36" s="15"/>
      <c r="B36" s="9"/>
      <c r="C36" s="24">
        <f ca="1">SUM(C34:C35)</f>
        <v>50729.45</v>
      </c>
      <c r="D36" s="9"/>
      <c r="E36" s="24">
        <f ca="1">SUM(E34:E35)</f>
        <v>66132.38</v>
      </c>
    </row>
    <row r="37" spans="1:5" ht="13.5" customHeight="1" thickTop="1" x14ac:dyDescent="0.3">
      <c r="A37" s="17"/>
      <c r="B37" s="3"/>
      <c r="C37" s="18"/>
      <c r="D37" s="9"/>
      <c r="E37" s="14"/>
    </row>
    <row r="38" spans="1:5" ht="13.5" customHeight="1" x14ac:dyDescent="0.3">
      <c r="A38" s="11" t="s">
        <v>29</v>
      </c>
      <c r="B38" s="4"/>
      <c r="C38" s="12"/>
      <c r="D38" s="9"/>
      <c r="E38" s="14"/>
    </row>
    <row r="39" spans="1:5" ht="13.5" customHeight="1" x14ac:dyDescent="0.3">
      <c r="A39" s="15" t="s">
        <v>11</v>
      </c>
      <c r="B39" s="9">
        <f ca="1">C21</f>
        <v>54662.400000000001</v>
      </c>
      <c r="C39" s="14"/>
      <c r="D39" s="9">
        <f ca="1">E21</f>
        <v>68328</v>
      </c>
      <c r="E39" s="14"/>
    </row>
    <row r="40" spans="1:5" ht="13.5" customHeight="1" x14ac:dyDescent="0.3">
      <c r="A40" s="15" t="s">
        <v>12</v>
      </c>
      <c r="B40" s="9">
        <f ca="1">B39*8%</f>
        <v>4372.99</v>
      </c>
      <c r="C40" s="14"/>
      <c r="D40" s="9">
        <f ca="1">D39*8%</f>
        <v>5466.24</v>
      </c>
      <c r="E40" s="14"/>
    </row>
    <row r="41" spans="1:5" ht="13.5" customHeight="1" thickBot="1" x14ac:dyDescent="0.35">
      <c r="A41" s="15"/>
      <c r="B41" s="2">
        <f ca="1">B39+B40</f>
        <v>59035.39</v>
      </c>
      <c r="C41" s="14"/>
      <c r="D41" s="2">
        <f ca="1">D39+D40</f>
        <v>73794.240000000005</v>
      </c>
      <c r="E41" s="14"/>
    </row>
    <row r="42" spans="1:5" ht="13.5" customHeight="1" thickTop="1" x14ac:dyDescent="0.3">
      <c r="A42" s="15"/>
      <c r="B42" s="9"/>
      <c r="C42" s="14"/>
      <c r="D42" s="9"/>
      <c r="E42" s="14"/>
    </row>
    <row r="43" spans="1:5" ht="13.5" customHeight="1" x14ac:dyDescent="0.3">
      <c r="A43" s="15" t="s">
        <v>45</v>
      </c>
      <c r="B43" s="9">
        <f ca="1">12.96*B20</f>
        <v>73794.240000000005</v>
      </c>
      <c r="C43" s="14">
        <f ca="1">B43</f>
        <v>73794.240000000005</v>
      </c>
      <c r="D43" s="9">
        <f ca="1">B43</f>
        <v>73794.240000000005</v>
      </c>
      <c r="E43" s="14">
        <f ca="1">D43</f>
        <v>73794.240000000005</v>
      </c>
    </row>
    <row r="44" spans="1:5" ht="13.5" customHeight="1" x14ac:dyDescent="0.3">
      <c r="A44" s="15" t="s">
        <v>13</v>
      </c>
      <c r="B44" s="33">
        <f>$G$2</f>
        <v>13111</v>
      </c>
      <c r="C44" s="34">
        <f>B44</f>
        <v>13111</v>
      </c>
      <c r="D44" s="3">
        <f>B44</f>
        <v>13111</v>
      </c>
      <c r="E44" s="18">
        <f>C44</f>
        <v>13111</v>
      </c>
    </row>
    <row r="45" spans="1:5" ht="13.5" customHeight="1" x14ac:dyDescent="0.3">
      <c r="A45" s="15" t="s">
        <v>46</v>
      </c>
      <c r="B45" s="9">
        <f ca="1">B43-B44</f>
        <v>60683.24</v>
      </c>
      <c r="C45" s="14">
        <f ca="1">C43-C44</f>
        <v>60683.24</v>
      </c>
      <c r="D45" s="9">
        <f ca="1">D43-D44</f>
        <v>60683.24</v>
      </c>
      <c r="E45" s="14">
        <f ca="1">E43-E44</f>
        <v>60683.24</v>
      </c>
    </row>
    <row r="46" spans="1:5" ht="13.5" customHeight="1" x14ac:dyDescent="0.3">
      <c r="A46" s="15" t="s">
        <v>47</v>
      </c>
      <c r="B46" s="9">
        <f ca="1">B45*$B$16</f>
        <v>60683.24</v>
      </c>
      <c r="C46" s="14">
        <f ca="1">C45*$B$16</f>
        <v>60683.24</v>
      </c>
      <c r="D46" s="9">
        <f ca="1">D45*B5</f>
        <v>60683.24</v>
      </c>
      <c r="E46" s="14">
        <f ca="1">E45*B5</f>
        <v>60683.24</v>
      </c>
    </row>
    <row r="47" spans="1:5" ht="13.5" customHeight="1" x14ac:dyDescent="0.3">
      <c r="A47" s="37" t="s">
        <v>64</v>
      </c>
      <c r="B47" s="9">
        <f ca="1">G4*B46</f>
        <v>6068.32</v>
      </c>
      <c r="C47" s="14"/>
      <c r="D47" s="36">
        <f ca="1">G4*D46</f>
        <v>6068.32</v>
      </c>
      <c r="E47" s="14"/>
    </row>
    <row r="48" spans="1:5" ht="13.5" customHeight="1" x14ac:dyDescent="0.3">
      <c r="A48" s="15"/>
      <c r="B48" s="9"/>
      <c r="C48" s="14"/>
      <c r="D48" s="9"/>
      <c r="E48" s="14"/>
    </row>
    <row r="49" spans="1:5" ht="13.5" customHeight="1" x14ac:dyDescent="0.3">
      <c r="A49" s="15" t="s">
        <v>17</v>
      </c>
      <c r="B49" s="9">
        <f ca="1">MIN(B41-B47,$G$5)</f>
        <v>52967.07</v>
      </c>
      <c r="C49" s="14"/>
      <c r="D49" s="9">
        <f ca="1">MIN(D41-D47,$G$5)</f>
        <v>58311</v>
      </c>
      <c r="E49" s="14"/>
    </row>
    <row r="50" spans="1:5" ht="13.5" customHeight="1" x14ac:dyDescent="0.3">
      <c r="A50" s="37" t="s">
        <v>62</v>
      </c>
      <c r="B50" s="9">
        <f ca="1">$G$6*B49</f>
        <v>3707.69</v>
      </c>
      <c r="C50" s="14"/>
      <c r="D50" s="9">
        <f ca="1">$G$6*D49</f>
        <v>4081.77</v>
      </c>
      <c r="E50" s="14"/>
    </row>
    <row r="51" spans="1:5" ht="13.5" customHeight="1" x14ac:dyDescent="0.3">
      <c r="A51" s="17"/>
      <c r="B51" s="3"/>
      <c r="C51" s="18"/>
      <c r="D51" s="3"/>
      <c r="E51" s="18"/>
    </row>
    <row r="52" spans="1:5" ht="13.5" customHeight="1" x14ac:dyDescent="0.3">
      <c r="A52" s="29" t="s">
        <v>52</v>
      </c>
      <c r="C52" s="12"/>
      <c r="D52" s="9"/>
      <c r="E52" s="12"/>
    </row>
    <row r="53" spans="1:5" ht="13.5" customHeight="1" x14ac:dyDescent="0.3">
      <c r="A53" s="15" t="s">
        <v>53</v>
      </c>
      <c r="C53" s="14">
        <f ca="1">C36</f>
        <v>50729.45</v>
      </c>
      <c r="D53" s="9"/>
      <c r="E53" s="14">
        <f ca="1">E36</f>
        <v>66132.38</v>
      </c>
    </row>
    <row r="54" spans="1:5" ht="13.5" customHeight="1" x14ac:dyDescent="0.3">
      <c r="A54" s="15" t="s">
        <v>54</v>
      </c>
      <c r="C54" s="14">
        <f ca="1">C46*G3</f>
        <v>15170.81</v>
      </c>
      <c r="D54" s="9"/>
      <c r="E54" s="14">
        <f ca="1">E46*G3</f>
        <v>15170.81</v>
      </c>
    </row>
    <row r="55" spans="1:5" ht="13.5" customHeight="1" x14ac:dyDescent="0.3">
      <c r="A55" s="15" t="s">
        <v>55</v>
      </c>
      <c r="B55" s="1">
        <f ca="1">12.96*(B15-B6)*B20</f>
        <v>7379.42</v>
      </c>
      <c r="C55" s="14"/>
      <c r="D55" s="9"/>
      <c r="E55" s="14"/>
    </row>
    <row r="56" spans="1:5" ht="13.5" customHeight="1" x14ac:dyDescent="0.3">
      <c r="A56" s="15" t="s">
        <v>56</v>
      </c>
      <c r="B56" s="1">
        <f ca="1">(G3*C45-G4*B45)*(B15-B6)</f>
        <v>910.25</v>
      </c>
      <c r="C56" s="14"/>
      <c r="D56" s="9"/>
      <c r="E56" s="14"/>
    </row>
    <row r="57" spans="1:5" x14ac:dyDescent="0.3">
      <c r="A57" s="15" t="s">
        <v>57</v>
      </c>
      <c r="B57" s="3">
        <f ca="1">IF(B7="ja",(G3*C45-G4*B45)*(B5-B15),0)</f>
        <v>1820.5</v>
      </c>
      <c r="C57" s="14"/>
      <c r="D57" s="9"/>
      <c r="E57" s="14"/>
    </row>
    <row r="58" spans="1:5" x14ac:dyDescent="0.3">
      <c r="A58" s="15" t="s">
        <v>58</v>
      </c>
      <c r="C58" s="14">
        <f ca="1">-SUM(B55:B57)</f>
        <v>-10110.17</v>
      </c>
      <c r="D58" s="9"/>
      <c r="E58" s="14"/>
    </row>
    <row r="59" spans="1:5" ht="14.4" thickBot="1" x14ac:dyDescent="0.35">
      <c r="A59" s="17"/>
      <c r="B59" s="26">
        <f ca="1">C59/E59</f>
        <v>0.68620000000000003</v>
      </c>
      <c r="C59" s="24">
        <f ca="1">SUM(C53:C58)</f>
        <v>55790.09</v>
      </c>
      <c r="D59" s="17"/>
      <c r="E59" s="24">
        <f ca="1">SUM(E53:E58)</f>
        <v>81303.19</v>
      </c>
    </row>
    <row r="60" spans="1:5" ht="14.4" thickTop="1" x14ac:dyDescent="0.3">
      <c r="D60" s="9"/>
    </row>
    <row r="61" spans="1:5" x14ac:dyDescent="0.3">
      <c r="C61" s="25"/>
    </row>
  </sheetData>
  <mergeCells count="3">
    <mergeCell ref="A1:E1"/>
    <mergeCell ref="C13:E14"/>
    <mergeCell ref="G1:H1"/>
  </mergeCells>
  <phoneticPr fontId="0" type="noConversion"/>
  <pageMargins left="0.74" right="0.36" top="1" bottom="1" header="0.5" footer="0.5"/>
  <pageSetup paperSize="9" scale="6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4"/>
  <sheetViews>
    <sheetView workbookViewId="0">
      <selection activeCell="F10" sqref="F10"/>
    </sheetView>
  </sheetViews>
  <sheetFormatPr defaultColWidth="12.59765625" defaultRowHeight="13.8" x14ac:dyDescent="0.3"/>
  <cols>
    <col min="1" max="1" width="16.3984375" style="10" customWidth="1"/>
    <col min="2" max="4" width="16.59765625" style="10" customWidth="1"/>
    <col min="5" max="16384" width="12.59765625" style="10"/>
  </cols>
  <sheetData>
    <row r="1" spans="1:4" ht="26.4" x14ac:dyDescent="0.3">
      <c r="A1" s="30" t="s">
        <v>30</v>
      </c>
      <c r="B1" s="30" t="s">
        <v>31</v>
      </c>
      <c r="C1" s="30" t="s">
        <v>32</v>
      </c>
      <c r="D1" s="30" t="s">
        <v>33</v>
      </c>
    </row>
    <row r="2" spans="1:4" x14ac:dyDescent="0.3">
      <c r="A2" s="30"/>
      <c r="B2" s="30" t="s">
        <v>59</v>
      </c>
      <c r="C2" s="30" t="s">
        <v>60</v>
      </c>
      <c r="D2" s="30" t="s">
        <v>61</v>
      </c>
    </row>
    <row r="3" spans="1:4" x14ac:dyDescent="0.3">
      <c r="A3" s="31" t="s">
        <v>2</v>
      </c>
      <c r="B3" s="31" t="s">
        <v>34</v>
      </c>
      <c r="C3" s="31" t="s">
        <v>34</v>
      </c>
      <c r="D3" s="31" t="s">
        <v>34</v>
      </c>
    </row>
    <row r="4" spans="1:4" x14ac:dyDescent="0.3">
      <c r="A4" s="32">
        <v>0</v>
      </c>
      <c r="B4" s="35">
        <v>3383</v>
      </c>
      <c r="C4" s="35">
        <v>3978</v>
      </c>
      <c r="D4" s="35">
        <v>4137</v>
      </c>
    </row>
    <row r="5" spans="1:4" x14ac:dyDescent="0.3">
      <c r="A5" s="32">
        <v>1</v>
      </c>
      <c r="B5" s="35">
        <v>3552</v>
      </c>
      <c r="C5" s="35">
        <v>4066</v>
      </c>
      <c r="D5" s="35">
        <v>4228</v>
      </c>
    </row>
    <row r="6" spans="1:4" x14ac:dyDescent="0.3">
      <c r="A6" s="32">
        <v>2</v>
      </c>
      <c r="B6" s="35">
        <v>3635</v>
      </c>
      <c r="C6" s="35">
        <v>4137</v>
      </c>
      <c r="D6" s="35">
        <v>4319</v>
      </c>
    </row>
    <row r="7" spans="1:4" x14ac:dyDescent="0.3">
      <c r="A7" s="32">
        <v>3</v>
      </c>
      <c r="B7" s="35">
        <v>3812</v>
      </c>
      <c r="C7" s="35">
        <v>4228</v>
      </c>
      <c r="D7" s="35">
        <v>4406</v>
      </c>
    </row>
    <row r="8" spans="1:4" x14ac:dyDescent="0.3">
      <c r="A8" s="32">
        <v>4</v>
      </c>
      <c r="B8" s="35">
        <v>3973</v>
      </c>
      <c r="C8" s="35">
        <v>4295</v>
      </c>
      <c r="D8" s="35">
        <v>4522</v>
      </c>
    </row>
    <row r="9" spans="1:4" x14ac:dyDescent="0.3">
      <c r="A9" s="32">
        <v>5</v>
      </c>
      <c r="B9" s="35">
        <v>4047</v>
      </c>
      <c r="C9" s="35">
        <v>4364</v>
      </c>
      <c r="D9" s="35">
        <v>4640</v>
      </c>
    </row>
    <row r="10" spans="1:4" x14ac:dyDescent="0.3">
      <c r="A10" s="32">
        <v>6</v>
      </c>
      <c r="B10" s="35">
        <v>4137</v>
      </c>
      <c r="C10" s="35">
        <v>4431</v>
      </c>
      <c r="D10" s="35">
        <v>4752</v>
      </c>
    </row>
    <row r="11" spans="1:4" x14ac:dyDescent="0.3">
      <c r="A11" s="32">
        <v>7</v>
      </c>
      <c r="B11" s="35">
        <v>4228</v>
      </c>
      <c r="C11" s="35">
        <v>4499</v>
      </c>
      <c r="D11" s="35">
        <v>4870</v>
      </c>
    </row>
    <row r="12" spans="1:4" x14ac:dyDescent="0.3">
      <c r="A12" s="32">
        <v>8</v>
      </c>
      <c r="B12" s="35">
        <v>4319</v>
      </c>
      <c r="C12" s="35">
        <v>4590</v>
      </c>
      <c r="D12" s="35">
        <v>4952</v>
      </c>
    </row>
    <row r="13" spans="1:4" x14ac:dyDescent="0.3">
      <c r="A13" s="32">
        <v>9</v>
      </c>
      <c r="B13" s="35">
        <v>4406</v>
      </c>
      <c r="C13" s="35">
        <v>4681</v>
      </c>
      <c r="D13" s="35">
        <v>5083</v>
      </c>
    </row>
    <row r="14" spans="1:4" x14ac:dyDescent="0.3">
      <c r="A14" s="32">
        <v>10</v>
      </c>
      <c r="B14" s="35">
        <v>4499</v>
      </c>
      <c r="C14" s="35">
        <v>4769</v>
      </c>
      <c r="D14" s="35">
        <v>5228</v>
      </c>
    </row>
    <row r="15" spans="1:4" x14ac:dyDescent="0.3">
      <c r="A15" s="32">
        <v>11</v>
      </c>
      <c r="B15" s="35">
        <v>4590</v>
      </c>
      <c r="C15" s="35">
        <v>4870</v>
      </c>
      <c r="D15" s="35">
        <v>5357</v>
      </c>
    </row>
    <row r="16" spans="1:4" x14ac:dyDescent="0.3">
      <c r="A16" s="32">
        <v>12</v>
      </c>
      <c r="B16" s="35">
        <v>4680</v>
      </c>
      <c r="C16" s="35">
        <v>4952</v>
      </c>
      <c r="D16" s="35">
        <v>5493</v>
      </c>
    </row>
    <row r="17" spans="1:4" x14ac:dyDescent="0.3">
      <c r="A17" s="32">
        <v>13</v>
      </c>
      <c r="B17" s="35">
        <v>4750</v>
      </c>
      <c r="C17" s="35">
        <v>5044</v>
      </c>
      <c r="D17" s="35">
        <v>5627</v>
      </c>
    </row>
    <row r="18" spans="1:4" x14ac:dyDescent="0.3">
      <c r="A18" s="32">
        <v>14</v>
      </c>
      <c r="B18" s="35">
        <v>4815</v>
      </c>
      <c r="C18" s="35">
        <v>5131</v>
      </c>
      <c r="D18" s="35">
        <v>5790</v>
      </c>
    </row>
    <row r="19" spans="1:4" x14ac:dyDescent="0.3">
      <c r="A19" s="32">
        <v>15</v>
      </c>
      <c r="B19" s="35">
        <v>4860</v>
      </c>
      <c r="C19" s="35">
        <v>5228</v>
      </c>
      <c r="D19" s="35">
        <v>5891</v>
      </c>
    </row>
    <row r="20" spans="1:4" x14ac:dyDescent="0.3">
      <c r="A20" s="32">
        <v>16</v>
      </c>
      <c r="B20" s="35">
        <v>4931</v>
      </c>
      <c r="C20" s="35">
        <v>5357</v>
      </c>
      <c r="D20" s="35">
        <v>6046</v>
      </c>
    </row>
    <row r="21" spans="1:4" x14ac:dyDescent="0.3">
      <c r="A21" s="32">
        <v>17</v>
      </c>
      <c r="B21" s="35">
        <v>5003</v>
      </c>
      <c r="C21" s="35">
        <v>5493</v>
      </c>
      <c r="D21" s="35">
        <v>6106</v>
      </c>
    </row>
    <row r="22" spans="1:4" x14ac:dyDescent="0.3">
      <c r="A22" s="32">
        <v>18</v>
      </c>
      <c r="B22" s="35">
        <v>5074</v>
      </c>
      <c r="C22" s="35">
        <v>5552</v>
      </c>
      <c r="D22" s="35">
        <v>6184</v>
      </c>
    </row>
    <row r="23" spans="1:4" x14ac:dyDescent="0.3">
      <c r="A23" s="32">
        <v>19</v>
      </c>
      <c r="B23" s="35">
        <v>5151</v>
      </c>
      <c r="C23" s="35">
        <v>5627</v>
      </c>
      <c r="D23" s="35">
        <v>6272</v>
      </c>
    </row>
    <row r="24" spans="1:4" x14ac:dyDescent="0.3">
      <c r="A24" s="32">
        <v>20</v>
      </c>
      <c r="B24" s="35">
        <v>5228</v>
      </c>
      <c r="C24" s="35">
        <v>5694</v>
      </c>
      <c r="D24" s="35">
        <v>6398</v>
      </c>
    </row>
  </sheetData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9" ma:contentTypeDescription="Een nieuw document maken." ma:contentTypeScope="" ma:versionID="85cfa0c2ce169b7c511a282464342d4f">
  <xsd:schema xmlns:xsd="http://www.w3.org/2001/XMLSchema" xmlns:xs="http://www.w3.org/2001/XMLSchema" xmlns:p="http://schemas.microsoft.com/office/2006/metadata/properties" xmlns:ns2="bdf8f3cc-2e16-402e-aa70-8325446701b1" targetNamespace="http://schemas.microsoft.com/office/2006/metadata/properties" ma:root="true" ma:fieldsID="7bb62fd834ac7bb0c3d0fff97a88c791" ns2:_="">
    <xsd:import namespace="bdf8f3cc-2e16-402e-aa70-8325446701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05507F-6B04-4425-AF6F-E677D296C1CF}">
  <ds:schemaRefs>
    <ds:schemaRef ds:uri="bdf8f3cc-2e16-402e-aa70-8325446701b1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1E69E8E-F64E-4689-A2DA-AED9659AB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04AB81-9DD7-42F9-956C-CA0C12AD12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Traktementstabel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Pieter van Helden</cp:lastModifiedBy>
  <cp:lastPrinted>2019-12-18T14:51:56Z</cp:lastPrinted>
  <dcterms:created xsi:type="dcterms:W3CDTF">2003-11-21T19:44:55Z</dcterms:created>
  <dcterms:modified xsi:type="dcterms:W3CDTF">2020-12-17T13:27:27Z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</Properties>
</file>